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OIO 2025\Outubro 2025\Manutenção ar condicionado\NOVO TR AR CONDICIONADO\"/>
    </mc:Choice>
  </mc:AlternateContent>
  <bookViews>
    <workbookView xWindow="-120" yWindow="-120" windowWidth="29040" windowHeight="15840" tabRatio="821" activeTab="2"/>
  </bookViews>
  <sheets>
    <sheet name="RESUMO (MO+Materiais+Serv.)" sheetId="10" r:id="rId1"/>
    <sheet name="ENCARREGADO(A) GERAL" sheetId="20" r:id="rId2"/>
    <sheet name="TEC. DE SEGURANÇA " sheetId="21" r:id="rId3"/>
    <sheet name="TÉC. EM REFRIGERAÇÃO E AR" sheetId="22" r:id="rId4"/>
    <sheet name="AJUDANTE GERAL DE MANUTENÇÃO" sheetId="23" r:id="rId5"/>
    <sheet name="UNIFORMES" sheetId="15" r:id="rId6"/>
    <sheet name="FERRAMENTAS" sheetId="13" r:id="rId7"/>
    <sheet name="EPI" sheetId="14" r:id="rId8"/>
    <sheet name="MATERIAIS" sheetId="11" r:id="rId9"/>
    <sheet name="SERV. ESPECIALIZADOS " sheetId="12" r:id="rId10"/>
    <sheet name="BDI Materiais" sheetId="17" r:id="rId11"/>
  </sheets>
  <definedNames>
    <definedName name="_xlnm.Print_Area" localSheetId="10">'BDI Materiais'!$A$1:$C$18</definedName>
    <definedName name="_xlnm.Print_Area" localSheetId="7">EPI!$A$1:$O$31</definedName>
    <definedName name="_xlnm.Print_Area" localSheetId="6">FERRAMENTAS!$A$1:$AB$77</definedName>
    <definedName name="_xlnm.Print_Area" localSheetId="8">MATERIAIS!$A$1:$AN$124</definedName>
    <definedName name="_xlnm.Print_Area" localSheetId="0">'RESUMO (MO+Materiais+Serv.)'!$A$1:$E$33</definedName>
    <definedName name="_xlnm.Print_Area" localSheetId="5">UNIFORMES!$A$1:$O$9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0" l="1"/>
  <c r="E24" i="10" s="1"/>
  <c r="E110" i="20" l="1"/>
  <c r="D89" i="20"/>
  <c r="D88" i="20"/>
  <c r="L6" i="12"/>
  <c r="AA4" i="13"/>
  <c r="N7" i="15"/>
  <c r="N6" i="15"/>
  <c r="N5" i="15"/>
  <c r="N4" i="15"/>
  <c r="D49" i="23"/>
  <c r="D49" i="22"/>
  <c r="D50" i="21"/>
  <c r="D49" i="21"/>
  <c r="D50" i="20" l="1"/>
  <c r="F4" i="15"/>
  <c r="L7" i="12" l="1"/>
  <c r="L8" i="12" l="1"/>
  <c r="L5" i="12" l="1"/>
  <c r="AM107" i="11"/>
  <c r="AM106" i="11"/>
  <c r="AM105" i="11"/>
  <c r="AM104" i="11"/>
  <c r="AN106" i="11" l="1"/>
  <c r="AN107" i="11"/>
  <c r="AN105" i="11"/>
  <c r="AN104" i="11"/>
  <c r="AM112" i="11"/>
  <c r="AM52" i="11"/>
  <c r="AN52" i="11" s="1"/>
  <c r="AN51" i="11"/>
  <c r="AM51" i="11"/>
  <c r="AM44" i="11"/>
  <c r="AM42" i="11"/>
  <c r="AN42" i="11" s="1"/>
  <c r="AM41" i="11"/>
  <c r="AM54" i="11" l="1"/>
  <c r="AM65" i="11"/>
  <c r="AN65" i="11" s="1"/>
  <c r="AM50" i="11"/>
  <c r="AN50" i="11" s="1"/>
  <c r="AM20" i="11"/>
  <c r="AM18" i="11"/>
  <c r="AM17" i="11"/>
  <c r="AM16" i="11"/>
  <c r="AM15" i="11"/>
  <c r="AM14" i="11"/>
  <c r="AM12" i="11"/>
  <c r="AM13" i="11"/>
  <c r="AM19" i="11"/>
  <c r="AM21" i="11"/>
  <c r="AM6" i="11" l="1"/>
  <c r="AN6" i="11" s="1"/>
  <c r="AM90" i="11"/>
  <c r="AN90" i="11" s="1"/>
  <c r="AM89" i="11"/>
  <c r="AN89" i="11" s="1"/>
  <c r="AN88" i="11"/>
  <c r="AM87" i="11"/>
  <c r="AN87" i="11" s="1"/>
  <c r="AM86" i="11"/>
  <c r="AN86" i="11" s="1"/>
  <c r="AM102" i="11"/>
  <c r="AN102" i="11" s="1"/>
  <c r="AM9" i="11"/>
  <c r="AM8" i="11"/>
  <c r="AM10" i="11"/>
  <c r="AN10" i="11" s="1"/>
  <c r="AM7" i="11"/>
  <c r="AM24" i="11"/>
  <c r="AM25" i="11"/>
  <c r="AM26" i="11"/>
  <c r="AM27" i="11"/>
  <c r="AM28" i="11"/>
  <c r="AM23" i="11"/>
  <c r="AM22" i="11"/>
  <c r="AM30" i="11"/>
  <c r="AM29" i="11"/>
  <c r="AM37" i="11"/>
  <c r="AM38" i="11"/>
  <c r="AM39" i="11"/>
  <c r="AM36" i="11"/>
  <c r="AM115" i="11"/>
  <c r="AM114" i="11"/>
  <c r="AM113" i="11"/>
  <c r="AM116" i="11"/>
  <c r="AM117" i="11"/>
  <c r="AM118" i="11"/>
  <c r="AM119" i="11"/>
  <c r="O6" i="15" l="1"/>
  <c r="D50" i="22"/>
  <c r="D50" i="23"/>
  <c r="E20" i="20"/>
  <c r="M5" i="12" l="1"/>
  <c r="M6" i="12"/>
  <c r="M7" i="12"/>
  <c r="M8" i="12"/>
  <c r="AM83" i="11"/>
  <c r="AN83" i="11" s="1"/>
  <c r="AM82" i="11"/>
  <c r="AN82" i="11" s="1"/>
  <c r="AM85" i="11"/>
  <c r="AN85" i="11" s="1"/>
  <c r="AM84" i="11"/>
  <c r="AN84" i="11" s="1"/>
  <c r="AM96" i="11" l="1"/>
  <c r="AN96" i="11" s="1"/>
  <c r="AM97" i="11"/>
  <c r="AN97" i="11" s="1"/>
  <c r="AM68" i="11" l="1"/>
  <c r="AN68" i="11" s="1"/>
  <c r="AM69" i="11"/>
  <c r="AN69" i="11" s="1"/>
  <c r="AM70" i="11"/>
  <c r="AN70" i="11" s="1"/>
  <c r="AM71" i="11"/>
  <c r="AN71" i="11" s="1"/>
  <c r="AM72" i="11"/>
  <c r="AN72" i="11" s="1"/>
  <c r="AM73" i="11"/>
  <c r="AN73" i="11" s="1"/>
  <c r="AM74" i="11"/>
  <c r="AN74" i="11" s="1"/>
  <c r="AM75" i="11"/>
  <c r="AN75" i="11" s="1"/>
  <c r="AM76" i="11"/>
  <c r="AN76" i="11" s="1"/>
  <c r="AM77" i="11"/>
  <c r="AN77" i="11" s="1"/>
  <c r="AM78" i="11"/>
  <c r="AN78" i="11" s="1"/>
  <c r="AM79" i="11"/>
  <c r="AN79" i="11" s="1"/>
  <c r="AM80" i="11"/>
  <c r="AN80" i="11" s="1"/>
  <c r="AM67" i="11"/>
  <c r="AN67" i="11" s="1"/>
  <c r="AM4" i="11"/>
  <c r="AM5" i="11" l="1"/>
  <c r="AM53" i="11"/>
  <c r="AN53" i="11" s="1"/>
  <c r="AM110" i="11"/>
  <c r="AA61" i="13" l="1"/>
  <c r="AB61" i="13" s="1"/>
  <c r="N19" i="14" l="1"/>
  <c r="O19" i="14"/>
  <c r="N28" i="14"/>
  <c r="O28" i="14"/>
  <c r="AA57" i="13" l="1"/>
  <c r="AB57" i="13"/>
  <c r="AA32" i="13"/>
  <c r="AB32" i="13" s="1"/>
  <c r="AA31" i="13"/>
  <c r="AB31" i="13" s="1"/>
  <c r="AA21" i="13"/>
  <c r="AB21" i="13" s="1"/>
  <c r="AA72" i="13"/>
  <c r="AB72" i="13" s="1"/>
  <c r="AA71" i="13"/>
  <c r="AB71" i="13" s="1"/>
  <c r="AA69" i="13"/>
  <c r="AB69" i="13" s="1"/>
  <c r="AA68" i="13"/>
  <c r="AB68" i="13" s="1"/>
  <c r="AA67" i="13"/>
  <c r="AA70" i="13"/>
  <c r="AA66" i="13"/>
  <c r="AA65" i="13" l="1"/>
  <c r="AB65" i="13" s="1"/>
  <c r="AA64" i="13"/>
  <c r="AA63" i="13"/>
  <c r="AB63" i="13" s="1"/>
  <c r="AA62" i="13"/>
  <c r="AB62" i="13" s="1"/>
  <c r="AA60" i="13"/>
  <c r="AA59" i="13"/>
  <c r="AA58" i="13"/>
  <c r="AA53" i="13"/>
  <c r="AB53" i="13" s="1"/>
  <c r="AA56" i="13"/>
  <c r="AA55" i="13"/>
  <c r="AA54" i="13"/>
  <c r="AB54" i="13" s="1"/>
  <c r="AA52" i="13"/>
  <c r="AB52" i="13" s="1"/>
  <c r="AA50" i="13"/>
  <c r="AB50" i="13" s="1"/>
  <c r="AA48" i="13"/>
  <c r="AB48" i="13" s="1"/>
  <c r="AA49" i="13"/>
  <c r="AA47" i="13"/>
  <c r="AB47" i="13" s="1"/>
  <c r="AA46" i="13"/>
  <c r="AB46" i="13" s="1"/>
  <c r="AA45" i="13"/>
  <c r="AA44" i="13"/>
  <c r="AB44" i="13" s="1"/>
  <c r="AA43" i="13"/>
  <c r="AB43" i="13" s="1"/>
  <c r="AA41" i="13"/>
  <c r="AA40" i="13"/>
  <c r="AA39" i="13"/>
  <c r="AA38" i="13"/>
  <c r="AA35" i="13"/>
  <c r="AB35" i="13" s="1"/>
  <c r="AA34" i="13"/>
  <c r="AA42" i="13" l="1"/>
  <c r="AB42" i="13" s="1"/>
  <c r="AA30" i="13"/>
  <c r="AA29" i="13"/>
  <c r="AA33" i="13"/>
  <c r="AA13" i="13"/>
  <c r="AA28" i="13"/>
  <c r="AA27" i="13"/>
  <c r="AA26" i="13"/>
  <c r="AA25" i="13"/>
  <c r="AA24" i="13"/>
  <c r="AA36" i="13" l="1"/>
  <c r="AA37" i="13"/>
  <c r="AA23" i="13"/>
  <c r="AA22" i="13"/>
  <c r="AA20" i="13"/>
  <c r="AA19" i="13" l="1"/>
  <c r="AB19" i="13" s="1"/>
  <c r="AA18" i="13"/>
  <c r="AA17" i="13" l="1"/>
  <c r="AA15" i="13"/>
  <c r="AB15" i="13" s="1"/>
  <c r="AA16" i="13"/>
  <c r="AB16" i="13" s="1"/>
  <c r="AA14" i="13"/>
  <c r="AB14" i="13" s="1"/>
  <c r="AA51" i="13" l="1"/>
  <c r="AA12" i="13"/>
  <c r="AA11" i="13"/>
  <c r="AB11" i="13" s="1"/>
  <c r="AA10" i="13"/>
  <c r="AA9" i="13"/>
  <c r="AA7" i="13"/>
  <c r="AA6" i="13"/>
  <c r="AA5" i="13"/>
  <c r="N9" i="14"/>
  <c r="O9" i="14"/>
  <c r="N10" i="14"/>
  <c r="O10" i="14" s="1"/>
  <c r="N24" i="14"/>
  <c r="O24" i="14" s="1"/>
  <c r="N25" i="14"/>
  <c r="O25" i="14" s="1"/>
  <c r="N26" i="14"/>
  <c r="O26" i="14" s="1"/>
  <c r="N27" i="14"/>
  <c r="O27" i="14" s="1"/>
  <c r="N18" i="14"/>
  <c r="O18" i="14" s="1"/>
  <c r="N20" i="14"/>
  <c r="O20" i="14" s="1"/>
  <c r="N21" i="14"/>
  <c r="O21" i="14" s="1"/>
  <c r="N15" i="14"/>
  <c r="O15" i="14" s="1"/>
  <c r="N17" i="14"/>
  <c r="O17" i="14" s="1"/>
  <c r="N14" i="14"/>
  <c r="O14" i="14" s="1"/>
  <c r="N13" i="14"/>
  <c r="O13" i="14" s="1"/>
  <c r="N12" i="14"/>
  <c r="O12" i="14" s="1"/>
  <c r="N11" i="14" l="1"/>
  <c r="O11" i="14" s="1"/>
  <c r="N22" i="14"/>
  <c r="O22" i="14" s="1"/>
  <c r="N23" i="14"/>
  <c r="O23" i="14" s="1"/>
  <c r="N5" i="14"/>
  <c r="O5" i="14" s="1"/>
  <c r="N7" i="14" l="1"/>
  <c r="O7" i="14" s="1"/>
  <c r="N8" i="14" l="1"/>
  <c r="N6" i="14"/>
  <c r="O6" i="14" s="1"/>
  <c r="N16" i="14"/>
  <c r="O16" i="14" s="1"/>
  <c r="AM98" i="11" l="1"/>
  <c r="AM49" i="11"/>
  <c r="AM95" i="11" l="1"/>
  <c r="AM100" i="11"/>
  <c r="AM99" i="11"/>
  <c r="AM46" i="11"/>
  <c r="AM47" i="11"/>
  <c r="AM48" i="11"/>
  <c r="AM45" i="11"/>
  <c r="AM108" i="11"/>
  <c r="AM109" i="11"/>
  <c r="AM32" i="11"/>
  <c r="AM33" i="11"/>
  <c r="AM34" i="11"/>
  <c r="AM35" i="11"/>
  <c r="AM31" i="11"/>
  <c r="AM60" i="11" l="1"/>
  <c r="AM61" i="11"/>
  <c r="AM62" i="11"/>
  <c r="AM63" i="11"/>
  <c r="AM64" i="11"/>
  <c r="AM56" i="11"/>
  <c r="AM57" i="11"/>
  <c r="AM58" i="11"/>
  <c r="AM59" i="11"/>
  <c r="AM55" i="11"/>
  <c r="AN55" i="11" s="1"/>
  <c r="F7" i="15" l="1"/>
  <c r="F5" i="15"/>
  <c r="E26" i="22" l="1"/>
  <c r="E32" i="22" s="1"/>
  <c r="E81" i="22" l="1"/>
  <c r="E44" i="22"/>
  <c r="D55" i="22"/>
  <c r="D61" i="22" s="1"/>
  <c r="E43" i="22"/>
  <c r="E77" i="22"/>
  <c r="E39" i="22"/>
  <c r="E71" i="22"/>
  <c r="E31" i="22"/>
  <c r="E67" i="22"/>
  <c r="E103" i="22"/>
  <c r="E40" i="22"/>
  <c r="E45" i="22"/>
  <c r="E68" i="22"/>
  <c r="E78" i="22"/>
  <c r="E41" i="22"/>
  <c r="E69" i="22"/>
  <c r="E79" i="22"/>
  <c r="E30" i="22"/>
  <c r="E38" i="22"/>
  <c r="E42" i="22"/>
  <c r="E66" i="22"/>
  <c r="E70" i="22"/>
  <c r="E76" i="22"/>
  <c r="E33" i="22" l="1"/>
  <c r="E72" i="22"/>
  <c r="E105" i="22" s="1"/>
  <c r="E82" i="22"/>
  <c r="E106" i="22" s="1"/>
  <c r="D59" i="22" l="1"/>
  <c r="E37" i="22"/>
  <c r="E46" i="22" s="1"/>
  <c r="D60" i="22" s="1"/>
  <c r="D62" i="22" s="1"/>
  <c r="E104" i="22" s="1"/>
  <c r="E26" i="20" l="1"/>
  <c r="E26" i="21"/>
  <c r="E26" i="23"/>
  <c r="E31" i="23" s="1"/>
  <c r="O4" i="15"/>
  <c r="O5" i="15"/>
  <c r="O7" i="15"/>
  <c r="AN4" i="11"/>
  <c r="AN5" i="11"/>
  <c r="AN91" i="11"/>
  <c r="AN92" i="11"/>
  <c r="AN7" i="11"/>
  <c r="AN8" i="11"/>
  <c r="AN9" i="11"/>
  <c r="AN12" i="11"/>
  <c r="AN13" i="11"/>
  <c r="AN14" i="11"/>
  <c r="AN15" i="11"/>
  <c r="AN16" i="11"/>
  <c r="AN17" i="11"/>
  <c r="AN18" i="11"/>
  <c r="AN19" i="11"/>
  <c r="AN20" i="11"/>
  <c r="AN21" i="11"/>
  <c r="AN22" i="11"/>
  <c r="AN23" i="11"/>
  <c r="AN24" i="11"/>
  <c r="AN25" i="11"/>
  <c r="AN26" i="11"/>
  <c r="AN27" i="11"/>
  <c r="AN28" i="11"/>
  <c r="AN29" i="11"/>
  <c r="AN30" i="11"/>
  <c r="AN36" i="11"/>
  <c r="AN37" i="11"/>
  <c r="AN38" i="11"/>
  <c r="AN39" i="11"/>
  <c r="AN95" i="11"/>
  <c r="AN41" i="11"/>
  <c r="AN43" i="11"/>
  <c r="AN44" i="11"/>
  <c r="AN45" i="11"/>
  <c r="AN46" i="11"/>
  <c r="AN47" i="11"/>
  <c r="AN48" i="11"/>
  <c r="AN49" i="11"/>
  <c r="AN98" i="11"/>
  <c r="AN93" i="11"/>
  <c r="AN99" i="11"/>
  <c r="AN100" i="11"/>
  <c r="AN101" i="11"/>
  <c r="AN108" i="11"/>
  <c r="AN109" i="11"/>
  <c r="AN110" i="11"/>
  <c r="AN31" i="11"/>
  <c r="AN32" i="11"/>
  <c r="AN33" i="11"/>
  <c r="AN34" i="11"/>
  <c r="AN35" i="11"/>
  <c r="AN103" i="11"/>
  <c r="AN54" i="11"/>
  <c r="AN56" i="11"/>
  <c r="AN57" i="11"/>
  <c r="AN58" i="11"/>
  <c r="AN59" i="11"/>
  <c r="AN60" i="11"/>
  <c r="AN61" i="11"/>
  <c r="AN62" i="11"/>
  <c r="AN63" i="11"/>
  <c r="AN64" i="11"/>
  <c r="AN112" i="11"/>
  <c r="AN113" i="11"/>
  <c r="AN114" i="11"/>
  <c r="AN115" i="11"/>
  <c r="AN116" i="11"/>
  <c r="AN117" i="11"/>
  <c r="AN118" i="11"/>
  <c r="AN119" i="11"/>
  <c r="O8" i="14"/>
  <c r="O29" i="14" s="1"/>
  <c r="AB4" i="13"/>
  <c r="AB5" i="13"/>
  <c r="AB6" i="13"/>
  <c r="AB7" i="13"/>
  <c r="AB8" i="13"/>
  <c r="AB9" i="13"/>
  <c r="AB10" i="13"/>
  <c r="AB12" i="13"/>
  <c r="AB13" i="13"/>
  <c r="AB17" i="13"/>
  <c r="AB18" i="13"/>
  <c r="AB20" i="13"/>
  <c r="AB22" i="13"/>
  <c r="AB23" i="13"/>
  <c r="AB24" i="13"/>
  <c r="AB25" i="13"/>
  <c r="AB26" i="13"/>
  <c r="AB27" i="13"/>
  <c r="AB28" i="13"/>
  <c r="AB29" i="13"/>
  <c r="AB30" i="13"/>
  <c r="AB33" i="13"/>
  <c r="AB34" i="13"/>
  <c r="AB36" i="13"/>
  <c r="AB37" i="13"/>
  <c r="AB38" i="13"/>
  <c r="AB39" i="13"/>
  <c r="AB40" i="13"/>
  <c r="AB41" i="13"/>
  <c r="AB45" i="13"/>
  <c r="AB49" i="13"/>
  <c r="AB51" i="13"/>
  <c r="AB55" i="13"/>
  <c r="AB56" i="13"/>
  <c r="AB58" i="13"/>
  <c r="AB59" i="13"/>
  <c r="AB60" i="13"/>
  <c r="AB64" i="13"/>
  <c r="AB66" i="13"/>
  <c r="AB67" i="13"/>
  <c r="AB70" i="13"/>
  <c r="C12" i="17"/>
  <c r="C6" i="17"/>
  <c r="C2" i="17"/>
  <c r="C18" i="17" l="1"/>
  <c r="E44" i="20"/>
  <c r="O8" i="15"/>
  <c r="O9" i="15" s="1"/>
  <c r="E41" i="23"/>
  <c r="E45" i="23"/>
  <c r="E43" i="23"/>
  <c r="E30" i="23"/>
  <c r="E44" i="23"/>
  <c r="E44" i="21"/>
  <c r="E103" i="21"/>
  <c r="E32" i="21"/>
  <c r="E69" i="21"/>
  <c r="E79" i="23"/>
  <c r="E76" i="23"/>
  <c r="E81" i="23"/>
  <c r="E70" i="23"/>
  <c r="E103" i="23"/>
  <c r="E66" i="23"/>
  <c r="E69" i="23"/>
  <c r="E40" i="20"/>
  <c r="E41" i="20"/>
  <c r="E42" i="20"/>
  <c r="E43" i="20"/>
  <c r="E45" i="20"/>
  <c r="E39" i="20"/>
  <c r="E68" i="20"/>
  <c r="E70" i="20"/>
  <c r="E71" i="20"/>
  <c r="E69" i="20"/>
  <c r="E32" i="20"/>
  <c r="E31" i="20"/>
  <c r="E79" i="20"/>
  <c r="E77" i="20"/>
  <c r="E38" i="20"/>
  <c r="E68" i="23"/>
  <c r="E40" i="23"/>
  <c r="E79" i="21"/>
  <c r="E30" i="20"/>
  <c r="E67" i="20"/>
  <c r="E78" i="23"/>
  <c r="E77" i="23"/>
  <c r="D55" i="23"/>
  <c r="D61" i="23" s="1"/>
  <c r="AB73" i="13"/>
  <c r="AB74" i="13" s="1"/>
  <c r="AB75" i="13" s="1"/>
  <c r="AB76" i="13" s="1"/>
  <c r="AB77" i="13" s="1"/>
  <c r="AN120" i="11"/>
  <c r="AN121" i="11" s="1"/>
  <c r="AN122" i="11" s="1"/>
  <c r="AN123" i="11" s="1"/>
  <c r="AN124" i="11" s="1"/>
  <c r="O30" i="14"/>
  <c r="M9" i="12"/>
  <c r="M10" i="12" s="1"/>
  <c r="M11" i="12" s="1"/>
  <c r="M12" i="12" s="1"/>
  <c r="E39" i="23"/>
  <c r="E32" i="23"/>
  <c r="E71" i="23"/>
  <c r="E67" i="23"/>
  <c r="E42" i="23"/>
  <c r="E38" i="23"/>
  <c r="E45" i="21"/>
  <c r="E78" i="21"/>
  <c r="E68" i="21"/>
  <c r="D55" i="21"/>
  <c r="D61" i="21" s="1"/>
  <c r="E43" i="21"/>
  <c r="E39" i="21"/>
  <c r="E31" i="21"/>
  <c r="E77" i="21"/>
  <c r="E71" i="21"/>
  <c r="E67" i="21"/>
  <c r="E42" i="21"/>
  <c r="E38" i="21"/>
  <c r="E30" i="21"/>
  <c r="E40" i="21"/>
  <c r="E81" i="21"/>
  <c r="E76" i="21"/>
  <c r="E70" i="21"/>
  <c r="E66" i="21"/>
  <c r="E41" i="21"/>
  <c r="E81" i="20"/>
  <c r="E76" i="20"/>
  <c r="E66" i="20"/>
  <c r="E103" i="20"/>
  <c r="E78" i="20"/>
  <c r="D55" i="20"/>
  <c r="D61" i="20" s="1"/>
  <c r="D88" i="22" l="1"/>
  <c r="D88" i="23"/>
  <c r="D86" i="21"/>
  <c r="D86" i="22"/>
  <c r="D90" i="22" s="1"/>
  <c r="E107" i="22" s="1"/>
  <c r="E108" i="22" s="1"/>
  <c r="E94" i="22" s="1"/>
  <c r="E95" i="22" s="1"/>
  <c r="E110" i="22" s="1"/>
  <c r="D86" i="23"/>
  <c r="D86" i="20"/>
  <c r="E33" i="23"/>
  <c r="E33" i="21"/>
  <c r="E37" i="21" s="1"/>
  <c r="E46" i="21" s="1"/>
  <c r="D60" i="21" s="1"/>
  <c r="E82" i="23"/>
  <c r="E82" i="21"/>
  <c r="E106" i="21" s="1"/>
  <c r="E72" i="21"/>
  <c r="E105" i="21" s="1"/>
  <c r="E33" i="20"/>
  <c r="D59" i="21"/>
  <c r="E72" i="23"/>
  <c r="D88" i="21"/>
  <c r="O31" i="14"/>
  <c r="D89" i="22" s="1"/>
  <c r="E72" i="20"/>
  <c r="E105" i="20" s="1"/>
  <c r="E82" i="20"/>
  <c r="E106" i="20" s="1"/>
  <c r="E98" i="22" l="1"/>
  <c r="E96" i="22"/>
  <c r="D7" i="10"/>
  <c r="E97" i="22"/>
  <c r="D59" i="20"/>
  <c r="E37" i="20"/>
  <c r="E46" i="20" s="1"/>
  <c r="D60" i="20" s="1"/>
  <c r="D62" i="20" s="1"/>
  <c r="E104" i="20" s="1"/>
  <c r="E105" i="23"/>
  <c r="E106" i="23"/>
  <c r="D59" i="23"/>
  <c r="E37" i="23"/>
  <c r="E46" i="23" s="1"/>
  <c r="D60" i="23" s="1"/>
  <c r="D62" i="21"/>
  <c r="E104" i="21" s="1"/>
  <c r="D89" i="23"/>
  <c r="D90" i="23" s="1"/>
  <c r="E107" i="23" s="1"/>
  <c r="D89" i="21"/>
  <c r="E99" i="22" l="1"/>
  <c r="E109" i="22" s="1"/>
  <c r="D62" i="23"/>
  <c r="E104" i="23" s="1"/>
  <c r="E108" i="23" s="1"/>
  <c r="E94" i="23" s="1"/>
  <c r="E95" i="23" s="1"/>
  <c r="E110" i="23" s="1"/>
  <c r="D90" i="20"/>
  <c r="E107" i="20" s="1"/>
  <c r="E108" i="20" s="1"/>
  <c r="E94" i="20" s="1"/>
  <c r="E95" i="20" s="1"/>
  <c r="D90" i="21"/>
  <c r="E107" i="21" s="1"/>
  <c r="E108" i="21" s="1"/>
  <c r="E94" i="21" s="1"/>
  <c r="E95" i="21" s="1"/>
  <c r="E110" i="21" s="1"/>
  <c r="D6" i="10" l="1"/>
  <c r="E6" i="10" s="1"/>
  <c r="E15" i="10" s="1"/>
  <c r="E96" i="21"/>
  <c r="E98" i="23"/>
  <c r="E96" i="23"/>
  <c r="E97" i="23"/>
  <c r="D8" i="10"/>
  <c r="E8" i="10" s="1"/>
  <c r="E17" i="10" s="1"/>
  <c r="D5" i="10"/>
  <c r="E5" i="10" s="1"/>
  <c r="E14" i="10" s="1"/>
  <c r="E96" i="20"/>
  <c r="E97" i="20"/>
  <c r="E98" i="20"/>
  <c r="E98" i="21"/>
  <c r="E97" i="21"/>
  <c r="E99" i="23" l="1"/>
  <c r="E109" i="23" s="1"/>
  <c r="E99" i="20"/>
  <c r="E109" i="20" s="1"/>
  <c r="E99" i="21"/>
  <c r="E109" i="21" s="1"/>
  <c r="E7" i="10"/>
  <c r="E16" i="10" s="1"/>
  <c r="E18" i="10" s="1"/>
  <c r="D23" i="10" s="1"/>
  <c r="E9" i="10" l="1"/>
  <c r="E19" i="10"/>
  <c r="D25" i="10"/>
  <c r="E23" i="10"/>
  <c r="E25" i="10" l="1"/>
  <c r="E26" i="10"/>
</calcChain>
</file>

<file path=xl/sharedStrings.xml><?xml version="1.0" encoding="utf-8"?>
<sst xmlns="http://schemas.openxmlformats.org/spreadsheetml/2006/main" count="6328" uniqueCount="547">
  <si>
    <t>PLANILHA DE CUSTO E FORMAÇÃO DE PREÇOS</t>
  </si>
  <si>
    <t>A</t>
  </si>
  <si>
    <t>Data de apresentação da proposta (dia/mês/ano)</t>
  </si>
  <si>
    <t>B</t>
  </si>
  <si>
    <t>Município/UF</t>
  </si>
  <si>
    <t>Brasília/DF</t>
  </si>
  <si>
    <t>C</t>
  </si>
  <si>
    <t>Ano do Acordo, Convenção ou Dissídio Coletivo</t>
  </si>
  <si>
    <t>D</t>
  </si>
  <si>
    <t>Nº de meses de execução contratual</t>
  </si>
  <si>
    <t>Tipo de Serviço</t>
  </si>
  <si>
    <t>Unidade de Medida</t>
  </si>
  <si>
    <t>Classificação Brasileira de Ocupações (CBO)</t>
  </si>
  <si>
    <t>Categoria profissional (vinculada à execução contratual)</t>
  </si>
  <si>
    <t>Composição da Remuneração</t>
  </si>
  <si>
    <t>%</t>
  </si>
  <si>
    <t>Valor (R$)</t>
  </si>
  <si>
    <t>Adicional de Periculosidade</t>
  </si>
  <si>
    <t>Adicional  de Insalubridade</t>
  </si>
  <si>
    <t>Adicional Noturno</t>
  </si>
  <si>
    <t>E</t>
  </si>
  <si>
    <t>Adicional de Hora Noturna Reduzida</t>
  </si>
  <si>
    <t>F</t>
  </si>
  <si>
    <t>Outros (especificar)</t>
  </si>
  <si>
    <t>Submódulo 2.1 - 13º (décimo teceiro) Salário, Férias e Adicional de Férias</t>
  </si>
  <si>
    <t>2.1</t>
  </si>
  <si>
    <t>13º (décimo terceiro) Salário, Férias e Adicional de Férias</t>
  </si>
  <si>
    <t>13º (décimo terceiro) Salário</t>
  </si>
  <si>
    <t>Total</t>
  </si>
  <si>
    <t>Percentual (%)</t>
  </si>
  <si>
    <t>Insumos Diversos</t>
  </si>
  <si>
    <t>Uniformes</t>
  </si>
  <si>
    <t>Custos Indiretos, Tributos e Lucro</t>
  </si>
  <si>
    <t>Custos Indiretos</t>
  </si>
  <si>
    <t>Tributos</t>
  </si>
  <si>
    <t>Mão-de-obra vinculada à execução contratual (valor por empregado)</t>
  </si>
  <si>
    <t>(R$)</t>
  </si>
  <si>
    <t>Valor total por empregado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</si>
  <si>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</si>
  <si>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</si>
  <si>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</si>
  <si>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</si>
  <si>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</si>
  <si>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- Seguro de Acidente do Trabalho</t>
  </si>
  <si>
    <t>SESC ou SESI</t>
  </si>
  <si>
    <t>SENAI ou SENAC</t>
  </si>
  <si>
    <t>SEBRAE</t>
  </si>
  <si>
    <t>G</t>
  </si>
  <si>
    <t>H</t>
  </si>
  <si>
    <t>FGTS</t>
  </si>
  <si>
    <t>Submódulo 2.3 - Benefícios Mensais e Diários</t>
  </si>
  <si>
    <t>2.3</t>
  </si>
  <si>
    <t>Benefícios Mensais e Diários</t>
  </si>
  <si>
    <t>Assistência Odontológica</t>
  </si>
  <si>
    <t>Auxílio creche</t>
  </si>
  <si>
    <t>QUADRO-RESUMO DO MÓDULO 2 - ENCARGOS E BENEFÍCIOS ANUAIS, MENSAIS E DIÁRIOS</t>
  </si>
  <si>
    <t>Encargos e Benefícios Anuais, Mensais e Diários</t>
  </si>
  <si>
    <t>Provisão para Rescisão</t>
  </si>
  <si>
    <t xml:space="preserve">Auxílio Transporte
</t>
  </si>
  <si>
    <t>Salário Base para 44 hs/semanais</t>
  </si>
  <si>
    <t>Técnico(a) em Segurança de Trabalho</t>
  </si>
  <si>
    <t>VALOR MENSAL DOS SERVIÇOS</t>
  </si>
  <si>
    <t>Qtde de empregados por posto</t>
  </si>
  <si>
    <t>Valor proposto por posto (R$)</t>
  </si>
  <si>
    <t>Valor total do serviço (R$)</t>
  </si>
  <si>
    <t>(A)</t>
  </si>
  <si>
    <t>(B)</t>
  </si>
  <si>
    <t>(C)</t>
  </si>
  <si>
    <t>(D) = (B x C)</t>
  </si>
  <si>
    <t>I</t>
  </si>
  <si>
    <t>II</t>
  </si>
  <si>
    <t>IV</t>
  </si>
  <si>
    <t>Anexo III-D - Quadro - demonstrativo - VALOR TOTAL ANUAL DOS SERVIÇOS</t>
  </si>
  <si>
    <t>Descrição</t>
  </si>
  <si>
    <t>Valor proposto por Posto de Serviço</t>
  </si>
  <si>
    <t>A1</t>
  </si>
  <si>
    <t>A2</t>
  </si>
  <si>
    <t>A3</t>
  </si>
  <si>
    <t>A4</t>
  </si>
  <si>
    <t>Valor mensal do serviço</t>
  </si>
  <si>
    <t>Valor global anual da proposta (valor mensal do serviço x 12 meses).</t>
  </si>
  <si>
    <t>VALOR GLOBAL TOTAL ANUAL (SERVIÇOS/MÃO DE OBRA + MATERIAIS)</t>
  </si>
  <si>
    <t>Mão de Obra</t>
  </si>
  <si>
    <t>TOTAL GERAL MENSAL E ANUAL</t>
  </si>
  <si>
    <t>Materiais + Serviços Especializados</t>
  </si>
  <si>
    <t>Subtotal (A + B + C + D + E)</t>
  </si>
  <si>
    <t>Item</t>
  </si>
  <si>
    <t>Serviços Especializados Eventuais</t>
  </si>
  <si>
    <t>Qdade</t>
  </si>
  <si>
    <t xml:space="preserve">Preço Unitário </t>
  </si>
  <si>
    <t>Total Anual</t>
  </si>
  <si>
    <t xml:space="preserve">Análise da Qualidade do Ar Interno (16 amostras/semestralmente) </t>
  </si>
  <si>
    <t>Higienização de dutos de ar insuflado (ou quando estiverem com evidências de concentração maior ou igual 7,5 g/m2 de material particulado)</t>
  </si>
  <si>
    <t>mensal</t>
  </si>
  <si>
    <t>ESTIMATIVA TOTAL ANUAL</t>
  </si>
  <si>
    <t>ESTIMATIVA TOTAL GERAL ANUAL</t>
  </si>
  <si>
    <t>ESTIMATIVA TOTAL GERAL MENSAL</t>
  </si>
  <si>
    <t xml:space="preserve"> ESTIMATIVA TOTAL MENSAL </t>
  </si>
  <si>
    <t>Qtd</t>
  </si>
  <si>
    <t>Cinturão de seguranca tipo paraquedista, fivela em aco, ajuste no Suspensario, cintura e pernas</t>
  </si>
  <si>
    <t xml:space="preserve"> ESTIMATIVA TOTAL ANUAL DE PREÇOS DE EQUIPAMENTOS DE PROTEÇÃO INDIVIDUAL</t>
  </si>
  <si>
    <t xml:space="preserve"> ESTIMATIVA TOTAL MENSAL DE PREÇOS DE EQUIPAMENTOS DE PROTEÇÃO INDIVIDUAL</t>
  </si>
  <si>
    <t>Total (Anual)</t>
  </si>
  <si>
    <t>Qdade Semestral</t>
  </si>
  <si>
    <t>Qdade Anual</t>
  </si>
  <si>
    <t>Quant. Funcionário</t>
  </si>
  <si>
    <t>Total Peças</t>
  </si>
  <si>
    <t>Total Geral Anual</t>
  </si>
  <si>
    <t>Preço Unitário Médio</t>
  </si>
  <si>
    <t>ITEM</t>
  </si>
  <si>
    <t>UND</t>
  </si>
  <si>
    <t>QTD</t>
  </si>
  <si>
    <t>und</t>
  </si>
  <si>
    <t>Bomba de Dreno para Cassete - PLD12 Max 12w- 220/240v - 50/60 hz de 18.000 a 48.000 Btu´s</t>
  </si>
  <si>
    <t>Defletores para Ar Condicionado Corte a Lazer  12.000/18.000 Btu´s (1,05cmx14cmx4mm)</t>
  </si>
  <si>
    <t>Defletores para Ar Condicionado Corte a Lazer  24.000 Btu´s  (1,30cmx14cmx4mm)</t>
  </si>
  <si>
    <t>Defletores para Ar Condicionado Corte a Lazer  36.000 Btu´s (1,50cmx14cmx4mm)</t>
  </si>
  <si>
    <t>Capacitor para motor ventilador 2,5uF-440/440V-Tipo EOS ou Superior-Nível de Segurança S2 ou mais</t>
  </si>
  <si>
    <t>Capacitor para motor ventilador 3uF-440/440V-Tipo EOS ou Superior-Nível de Segurança S2 ou mais</t>
  </si>
  <si>
    <t>Capacitor para motor ventilador 3,5uF-440/440V-Tipo EOS ou Superior-Nível de Segurança S2 ou mais</t>
  </si>
  <si>
    <t>Capacitor para motor ventilador 4uF-440/440V- Tipo EOS ou Superior -Nível de Segurança S2 ou mais</t>
  </si>
  <si>
    <t>Capacitor compressor 2uF-440/440V-Tipo EOS ou Superior-Nível de Segurança S2 ou mais</t>
  </si>
  <si>
    <t>Capacitor compressor 25uF-440/440V-Tipo EOS ou Superior-Nível de Segurança S2 ou mais</t>
  </si>
  <si>
    <t>Capacitor compressor 30uF-440/440V-Tipo EOS ou Superior-Nível de Segurança S2 ou mais</t>
  </si>
  <si>
    <t>Capacitor compressor 35uF-440/440V-Tipo EOS ou Superior-Nível de Segurança S2 ou mais</t>
  </si>
  <si>
    <t>Capacitor compressor 40uF-440/440V-Tipo EOS ou Superior-Nível de Segurança S2 ou mais</t>
  </si>
  <si>
    <t>Capacitor compressor 55uF-440/440V-Tipo EOS ou Superior-Nível de Segurança S2 ou mais</t>
  </si>
  <si>
    <t>Filtro secador para tubulação de ar condicionado  modelo 1/4" - DML 082R Danfos ou Similar</t>
  </si>
  <si>
    <t>Filtro secador para tubulação de ar condicionado modelo 3/8" -  DML 083R Danfos ou Similar</t>
  </si>
  <si>
    <t>Vareta de solda Foscoper 2,5mm X 500mm</t>
  </si>
  <si>
    <t>kg</t>
  </si>
  <si>
    <t>Abraçadeira em Nylon branca 300x4,8 mm, pacote com 100 peças</t>
  </si>
  <si>
    <t>pct</t>
  </si>
  <si>
    <t>Barra roscada zincada 3 metros x 5/16”</t>
  </si>
  <si>
    <t>Bisnaga de Cola Vinil Para PVC Flexível 75g</t>
  </si>
  <si>
    <t>Bucha de Redução de PVC, soldável, curta, 25x20mm</t>
  </si>
  <si>
    <t>Cabo elétrico Flexível PP 3x1,5mm</t>
  </si>
  <si>
    <t>metro</t>
  </si>
  <si>
    <t>Cabo elétrico Flexível PP 3x2,5mm</t>
  </si>
  <si>
    <t>Cabo elétrico Flexível PP 3x6,0mm</t>
  </si>
  <si>
    <t>Cantoneira de 1" 1/8 - barra de 6mt</t>
  </si>
  <si>
    <t>barra</t>
  </si>
  <si>
    <t>Cap em PVC Soldável Marrom 20mm</t>
  </si>
  <si>
    <t>Cap em PVC Soldável Marrom 25mm</t>
  </si>
  <si>
    <t>Carga de Gás acetileno para solda/PPU para cilindro de 1,25 kg</t>
  </si>
  <si>
    <t>Carga de Gás oxigênio para solda/PPU para cilindro de 1m³ (7 litros)</t>
  </si>
  <si>
    <t>m³</t>
  </si>
  <si>
    <t>cilindro</t>
  </si>
  <si>
    <t>Curva de cobre soldável de 3/8"</t>
  </si>
  <si>
    <t>Curva de cobre soldável de 1/2"</t>
  </si>
  <si>
    <t>Curva de cobre soldável de 5/8"</t>
  </si>
  <si>
    <t>Curva de cobre soldável de 3/4"</t>
  </si>
  <si>
    <t>Eletrodo para solda elétrica 2.5mm</t>
  </si>
  <si>
    <t>kilo</t>
  </si>
  <si>
    <t>Fita Isolante Adesiva Antichama, uso até750 V em rolo de 19 mm X 20m</t>
  </si>
  <si>
    <t>Fita Silver Tape Cinza 48mm X 50 metros</t>
  </si>
  <si>
    <t>Fita Veda Rosca Teflon 100% Ptfe 18mm X 50m</t>
  </si>
  <si>
    <t>Gás refrigerante ecológico R410A, cilindro de 11,3 kg</t>
  </si>
  <si>
    <t>Gás refrigerante R22, cilindro de 13,6 kg</t>
  </si>
  <si>
    <t>Gás HCFC R141B para limpeza de tubulação frigorigena, cilindro de 13,6 kg</t>
  </si>
  <si>
    <t>Joelho PVC soldável 20 mm</t>
  </si>
  <si>
    <t>Joelho PVC soldável 25 mm</t>
  </si>
  <si>
    <t>Luva PVC soldável 20 mm</t>
  </si>
  <si>
    <t>Luva PVC soldável 25 mm</t>
  </si>
  <si>
    <t>Mangueira Cristal, Lisa, PVC transparente de 1/4 x 1,5mm</t>
  </si>
  <si>
    <t>Pilha alcalina palito AAA, embalagem com (2)duas unidades</t>
  </si>
  <si>
    <t>Porca flangeada de latão 1/2</t>
  </si>
  <si>
    <t>Porca flangeada de latão 1/4</t>
  </si>
  <si>
    <t>Porca flangeada de latão 3/4</t>
  </si>
  <si>
    <t>Porca flangeada de latão 3/8</t>
  </si>
  <si>
    <t>Porca flangeada de latão 5/8</t>
  </si>
  <si>
    <t>Silicone acético, incolor 280 gramas</t>
  </si>
  <si>
    <t>Solda em Fio de Estanho 1mm- rolo 250 gramas</t>
  </si>
  <si>
    <t>rolo</t>
  </si>
  <si>
    <t>Tubo PVC soldável 20 mm</t>
  </si>
  <si>
    <t>Tubo PVC soldável 25 mm</t>
  </si>
  <si>
    <t>MATERIAL - HIGIENIZAÇÃO PREVENTIVAS/CORRETIVAS</t>
  </si>
  <si>
    <t>Detergente líquido, neutro, 500 ml</t>
  </si>
  <si>
    <t>Desengraxante Biodegradável Tipo Metacoil com gatilho sem enxague,  1 Litro</t>
  </si>
  <si>
    <t>Desengraxante Ácido tipo Thilex,  Galão 5 litros</t>
  </si>
  <si>
    <t>galão</t>
  </si>
  <si>
    <t>Esponja dupla face 71x100cm, embalagem com 10 unidades</t>
  </si>
  <si>
    <t>Trincha/Pincel Tamanho 2.1/2"</t>
  </si>
  <si>
    <t>ESTIMATIVA TOTAL  ANUAL</t>
  </si>
  <si>
    <t>BDI Diferenciado de Material - 14% (Acordão 2369/2011-TCU).</t>
  </si>
  <si>
    <t>ESTIMATIVA TOTAL MENSAL</t>
  </si>
  <si>
    <t>ESTIMATIVA TOTAL MENSAL ADMISSÍVEL - 40%</t>
  </si>
  <si>
    <t>Valor Total</t>
  </si>
  <si>
    <t>PLANILHA ESTIMATIVA DE MATERIAIS E PEÇAS DE REPOSIÇÃO ANUAL</t>
  </si>
  <si>
    <t>PLANILHA ESTIMATIVA ANUAL DE PREÇOS DE FERRAMENTAS E EQUIPAMENTOS NECESSÁRIOS PARA OS SERVIÇOS DE MANUTENÇÃO DE APARELHOS DE AR CONDICIONADO</t>
  </si>
  <si>
    <t>FERRAMENTAS</t>
  </si>
  <si>
    <t>Alicate de Pressão</t>
  </si>
  <si>
    <t>Bomba de Vácuo 5 CFM 127V 220V Duplo Estágio</t>
  </si>
  <si>
    <t>Cilindro para Nitrogenio de 10m³</t>
  </si>
  <si>
    <t>Caixa de ferramentas sanfonada com 5 gavetas</t>
  </si>
  <si>
    <t>Chave canhão de 10mm</t>
  </si>
  <si>
    <t>Chave canhão de 1/4</t>
  </si>
  <si>
    <t>Chave Inglesa Regulável 12"</t>
  </si>
  <si>
    <t>Chave de fenda para Bornes 1/4x6</t>
  </si>
  <si>
    <t>Chave de fenda para Bornes 3/16x6</t>
  </si>
  <si>
    <t>Chave de fenda cotoco 1/4x1.1/2"</t>
  </si>
  <si>
    <t>Chave de fenda isolada 1/8x4</t>
  </si>
  <si>
    <t>Chave Philips isolada 1/8x4</t>
  </si>
  <si>
    <t>Chave Philips para Bornes 1/4x6</t>
  </si>
  <si>
    <t>Chave Philips cotoco 1/4x1.1/2</t>
  </si>
  <si>
    <t>Cortador de Tubo de Cobre</t>
  </si>
  <si>
    <t>Esmerilhadeira Corte de ferro lixadeira angular 4.1/2"</t>
  </si>
  <si>
    <t>Ferro de solda de 30 watts</t>
  </si>
  <si>
    <t>Jogo de Brocas de Aço Rápido de 1 a 13mm com 25 peças</t>
  </si>
  <si>
    <t>Serra copo para corte em metal 65mm</t>
  </si>
  <si>
    <t>Serra copo diamantada 65 mm com haste</t>
  </si>
  <si>
    <t>Lima Chata</t>
  </si>
  <si>
    <t>Kit de chave de boca combinada 1/4 a 1"</t>
  </si>
  <si>
    <t>Martelete SDS-Plus GBH 2-24D 820W com Mandril, Ponteiro, Talhadeira e Kit Brocas SDS</t>
  </si>
  <si>
    <t>Manifold digital 02 vias completo - 99661-A – Mastercool ou similar</t>
  </si>
  <si>
    <t>Martelo bola, 200 gr.</t>
  </si>
  <si>
    <t>Motocompressor de Ar 2,0 HP_24 ou 25 litros_8,5 pés</t>
  </si>
  <si>
    <t>Nivel de Aluminio</t>
  </si>
  <si>
    <t>Pente Aletas Plástico de 6 pontas</t>
  </si>
  <si>
    <t>Regulador de baixa e alta pressão para gás nitrogenio</t>
  </si>
  <si>
    <t>Saca polia, 3", 3 garras</t>
  </si>
  <si>
    <t>Tanque recolhedor de gas refrigerante 13,6Kg</t>
  </si>
  <si>
    <t>Trena Metálica, 10 metros</t>
  </si>
  <si>
    <t>TOTAL GERAL ANUAL DE FERRAMENTAS</t>
  </si>
  <si>
    <t>*TAXA ANUAL DE DEPRECIAÇÃO APLICADA (20%)</t>
  </si>
  <si>
    <t>*PRAZO MÉDIO DE VIDA ÚTIL APLICADO (5 ANOS)</t>
  </si>
  <si>
    <t>VALOR MENSAL DA DEPRECIAÇÃO</t>
  </si>
  <si>
    <t>BDI  - 14%  (Acordão 2369/2011-TCU)</t>
  </si>
  <si>
    <t>Aviso Prévio Indenizado</t>
  </si>
  <si>
    <t>Aviso Prévio Trabalhado</t>
  </si>
  <si>
    <t>Lucro</t>
  </si>
  <si>
    <t>Substituto na cobertura de Outras ausências</t>
  </si>
  <si>
    <t>Substituto na cobertura de Afastamento Maternidade</t>
  </si>
  <si>
    <t>Substituto na cobertura de Ausência por Acidente de Trabalho</t>
  </si>
  <si>
    <t>Substituto na cobertura de Licença-Paternidade</t>
  </si>
  <si>
    <t>Substituto na cobertura de Ausências Legais</t>
  </si>
  <si>
    <t>Substituto na cobertura de Férias</t>
  </si>
  <si>
    <t xml:space="preserve">SEGURO DE VIDA E ACIDENTES PESSOAIS EM GRUPOS                                                                                  </t>
  </si>
  <si>
    <t>Adicional de Férias</t>
  </si>
  <si>
    <t>DISCRIMINAÇÃO</t>
  </si>
  <si>
    <t>GRUPO A</t>
  </si>
  <si>
    <t>Administração Central</t>
  </si>
  <si>
    <t>Risco</t>
  </si>
  <si>
    <t>GRUPO B</t>
  </si>
  <si>
    <t>Seguro de Risco de Engenharia</t>
  </si>
  <si>
    <t>Garantia</t>
  </si>
  <si>
    <t>Lucro Bruto</t>
  </si>
  <si>
    <t>Despesas Financeiras</t>
  </si>
  <si>
    <t>GRUPO C</t>
  </si>
  <si>
    <t>PIS</t>
  </si>
  <si>
    <t>COFINS</t>
  </si>
  <si>
    <t>CPRB</t>
  </si>
  <si>
    <t>BDI</t>
  </si>
  <si>
    <t>ISS</t>
  </si>
  <si>
    <t xml:space="preserve">PLANILHA  DE PREÇOS SERVIÇOS ESPECIALIZADOS EVENTUAIS </t>
  </si>
  <si>
    <t>Incidência do FGTS sobre o Aviso Prévio Indenizado</t>
  </si>
  <si>
    <t>Multa do FGTS e sobre o Aviso Prévio Indenizado</t>
  </si>
  <si>
    <t>Multa do FGTS e sobre o Aviso Prévio Trabalhado</t>
  </si>
  <si>
    <t>INCRA</t>
  </si>
  <si>
    <t>UNIFORMES</t>
  </si>
  <si>
    <r>
      <rPr>
        <b/>
        <sz val="12"/>
        <color theme="1"/>
        <rFont val="Calibri"/>
        <family val="2"/>
        <scheme val="minor"/>
      </rPr>
      <t>BDI =</t>
    </r>
    <r>
      <rPr>
        <sz val="9"/>
        <color theme="1"/>
        <rFont val="Calibri"/>
        <family val="2"/>
        <scheme val="minor"/>
      </rPr>
      <t xml:space="preserve"> { [ ( ( 1 + A ) x (1 + B ) ) / ( 1 - C ) ] -1 } x 100</t>
    </r>
  </si>
  <si>
    <t>Conjunto de solda oxigênio e acetileno – PPU, com Mac. de solda,  Extensões de solda 201 (4,6,9), 1 Cilindro Acetileno (1,25 kg),1 Cilindro de Oxigênio (1m³), 1 Regulador MD 1,5 Acetileno, 1 Regulador MD 10 Oxigênio, 4 Válvulas corta fogo, Mangueira conjugada e montada, 1 Acendedor e Carrinho</t>
  </si>
  <si>
    <t>Terminal Pré Isolado Tipo Pino azul para fios 1.5 mm² e 2.5 mm², embalagem com 100</t>
  </si>
  <si>
    <t>Terminal Pré isolado Tipo Pino amarelo para fios 4.0 mm² e 6.0 mm², embalagem com 100</t>
  </si>
  <si>
    <t>Terminal Pré Isolado Tipo  femea azul para fios 1.5 mm² e 2.5 mm², embalagem com 100</t>
  </si>
  <si>
    <t>Terminal Pré Isolado Tipo femea amarelo para fios 4.0 mm² e 6.0 mm², embalagem com 100</t>
  </si>
  <si>
    <t>_</t>
  </si>
  <si>
    <t>9101-05</t>
  </si>
  <si>
    <t>3516-05</t>
  </si>
  <si>
    <t>3141-15</t>
  </si>
  <si>
    <t>PREÇOS INICIAIS</t>
  </si>
  <si>
    <t>Mensal (R$)</t>
  </si>
  <si>
    <t>Anual (R$)</t>
  </si>
  <si>
    <t>Ajudante Geral de Manutenção</t>
  </si>
  <si>
    <t>Encarregado(a) Geral de Manutenção</t>
  </si>
  <si>
    <t>TOTAL MENSAL/EMPREGADO(14)</t>
  </si>
  <si>
    <t>TOTAL GERAL MENSAL/EMPREGADO (14)</t>
  </si>
  <si>
    <t>amostras</t>
  </si>
  <si>
    <t xml:space="preserve">anual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</si>
  <si>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semestral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</si>
  <si>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semestral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</si>
  <si>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Periodicidade </t>
  </si>
  <si>
    <t>mês</t>
  </si>
  <si>
    <t xml:space="preserve">Balde Multiuso de Plástico com Alça De Ferro Reforçado 12L </t>
  </si>
  <si>
    <t>SINAPI</t>
  </si>
  <si>
    <t xml:space="preserve"> ESTIMATIVA DE PREÇOS</t>
  </si>
  <si>
    <t>Tubo de cobre flexível de 1/2"</t>
  </si>
  <si>
    <t>Tubo de cobre flexível de 1/4"</t>
  </si>
  <si>
    <t>Tubo de cobre flexível de 3/4"</t>
  </si>
  <si>
    <t>Tubo de cobre flexível de 3/8"</t>
  </si>
  <si>
    <t>Tubo de cobre flexível de 5/8"</t>
  </si>
  <si>
    <t>**</t>
  </si>
  <si>
    <t>FRIGELAR</t>
  </si>
  <si>
    <t>FRIO SHOPPING</t>
  </si>
  <si>
    <t>DUFRIO</t>
  </si>
  <si>
    <t>Tubo Isolante Esponjoso Blindado  1/2" X 10mm X 2m Para Ar Split</t>
  </si>
  <si>
    <t>Tubo Isolante Esponjoso Blindado  1/4" X 10mm X 2m Para Ar Split</t>
  </si>
  <si>
    <t>Tubo Isolante Esponjoso Blindado  3/8" X 10mm X 2m Para Ar Split</t>
  </si>
  <si>
    <t>Tubo Isolante Esponjoso Blindado  5/8" X 10mm X 2m Para Ar Split</t>
  </si>
  <si>
    <t>Tubo Isolante Esponjoso Blindado  7/8" X 10mm X 2m Para Ar Split</t>
  </si>
  <si>
    <t>CHILLER PEÇAS</t>
  </si>
  <si>
    <t>ELETRO
FRIGOR</t>
  </si>
  <si>
    <t>CATA
VENTO</t>
  </si>
  <si>
    <t>Fita PVC Refrigeração Ar Condicionado Split 100mm X 10m (Branca)</t>
  </si>
  <si>
    <t>LOJA DO MECANICO</t>
  </si>
  <si>
    <t>FERRAMENTAS KENNEDY</t>
  </si>
  <si>
    <t>Fita Aluminizada Rolo 45mm x 45m</t>
  </si>
  <si>
    <t>ESTIMATIVA DE PREÇOS</t>
  </si>
  <si>
    <t>SUPER EPI</t>
  </si>
  <si>
    <t>EPIS ON LINE</t>
  </si>
  <si>
    <t>TEPIS</t>
  </si>
  <si>
    <t>Protetor Solar Profissional FPS 60  (120 ml)</t>
  </si>
  <si>
    <t>USE EPI</t>
  </si>
  <si>
    <t>SINAPI
05/2025</t>
  </si>
  <si>
    <t>MATERIAL - MANUTENÇÃO DRENOS/FACHADAS</t>
  </si>
  <si>
    <t>MATERIAL - MANUTENÇÃO ELÉTRICA</t>
  </si>
  <si>
    <t>MATERIAL - DIVERSOS PREVENTIVAS/CORRETIVAS</t>
  </si>
  <si>
    <t>MATERIAL - DIVERSOS INSTALAÇÕES/REMANEJAMENTOS</t>
  </si>
  <si>
    <t>MATERIAL - MANUTENÇÃO/PEÇAS CONDENSADORAS</t>
  </si>
  <si>
    <t>MATERIAL - MANUTENÇÃO/PEÇAS EVAPORADORAS</t>
  </si>
  <si>
    <t>Boné De Segurança Touca Árabe Proteção Ao Sol - Em Helanca</t>
  </si>
  <si>
    <t>ASTRO
DISTRIBUIDORA</t>
  </si>
  <si>
    <t>ROLO</t>
  </si>
  <si>
    <t>Óculos Vvision 500 Antiembaçante e Antirrisco Incolor
CA - 42719</t>
  </si>
  <si>
    <t>Óculos Vvision 500 Antiembaçante e Antirrisco Cinza
CA - 42719</t>
  </si>
  <si>
    <t>Máscara Respiratória N95 - PFF2 com válvula - CA 38944 
(CAIXA 100UND)</t>
  </si>
  <si>
    <t>Luva de borracha - (nitrílica verde com forro para proteção química nitrasolv - CA 25313 9 (PAR)</t>
  </si>
  <si>
    <t>Luva Látex Silver Slim (Nº 10) - CA 37277  (PAR)</t>
  </si>
  <si>
    <t>Luva de Algodão Pigmentada preta (Nº 10) - CA 34491 (PAR)</t>
  </si>
  <si>
    <t>Luva de Poliamida Tatil Smart revestimento em (PU) na palma e dedos Preta - CA 46932 (PAR)</t>
  </si>
  <si>
    <t>Luva Mista Vaqueta/Raspa (Nº 10) CA: 40029/26742 (PAR)</t>
  </si>
  <si>
    <t xml:space="preserve">Manguito de proteção uv 50 em poliéster e elastano </t>
  </si>
  <si>
    <t>Talabarte de segurança duplo em Y, 90cm com ABS e com conector de 55mm</t>
  </si>
  <si>
    <t>Spray Repelente de Insetos 10h Oil Free 100ml</t>
  </si>
  <si>
    <t xml:space="preserve">Óculos de proteção de sobrepor - Cinza - CA 10344  
(Para colaborador que usa óculos de grau) </t>
  </si>
  <si>
    <t>Óculos de proteção de sobrepor - Incolor - CA 10344 
(Para colaborador que usa óculos de grau)</t>
  </si>
  <si>
    <t>Máscara de Solda Automática CR2 com Regulagem Variável</t>
  </si>
  <si>
    <t xml:space="preserve">Corda em Poliamida 12MM Para Altura 100 Metros NR18 </t>
  </si>
  <si>
    <t>Abafador de Ruidos Tipo Concha</t>
  </si>
  <si>
    <t>Capacete Classe A e B Branco H700 com Carneira de Catraca  - CA - 29638</t>
  </si>
  <si>
    <t>Jugular de Tecido 3 pontos para Capacete H700</t>
  </si>
  <si>
    <t>Protetor auricular tipo Plug de Silicone c/ cordão - CA 39068</t>
  </si>
  <si>
    <t>SITES ESPECIALIZADOS</t>
  </si>
  <si>
    <t>Lanterna recarregavel grande</t>
  </si>
  <si>
    <t>Curvador para tubo de cobre</t>
  </si>
  <si>
    <t>DUTRA MÁQUINAS</t>
  </si>
  <si>
    <t>Alicate Amperímetro Digital</t>
  </si>
  <si>
    <t>Alicate de Bico Isolado</t>
  </si>
  <si>
    <t>Alicate de corte Diagonal Isolado</t>
  </si>
  <si>
    <t>Alicate de Pressão Lacrador de tubos de 7"</t>
  </si>
  <si>
    <t>Alicate Tipo Rebitador pop</t>
  </si>
  <si>
    <t>Alicate universal 8 Pol Isolado</t>
  </si>
  <si>
    <t>Arco de Serra regulável de 8" a 12"</t>
  </si>
  <si>
    <t>Aplicador de silicone em bisnaga (Pistola)</t>
  </si>
  <si>
    <t>Aspirador de Pó e Líquido 1400 watts 12 litros</t>
  </si>
  <si>
    <t>Bolsa Coletora para Higienização de Ar Condicionado</t>
  </si>
  <si>
    <t>Capacímetro Digital</t>
  </si>
  <si>
    <t>FRIO 
PEÇAS</t>
  </si>
  <si>
    <t>ELAS
TOBOR</t>
  </si>
  <si>
    <t>Carro plataforma com tampo em aço 250 kg</t>
  </si>
  <si>
    <t>OXIGÁS 
SHOP</t>
  </si>
  <si>
    <t>CILINDRO DE GÁS</t>
  </si>
  <si>
    <t>Garrafão Térmico 05 litros</t>
  </si>
  <si>
    <t>Pistola Lavadora de Alta Pressão sem fio para higienização de Ar Condicionado</t>
  </si>
  <si>
    <t>Escada de Fibra Tesoura Dupla 5 Degraus 1,50 Metros</t>
  </si>
  <si>
    <t>TE redução 50mm para 25mm</t>
  </si>
  <si>
    <t>Escada 3 em 1 Extensiva em Alumínio 2x11</t>
  </si>
  <si>
    <t>Alicate Desencapador Crimpador e Cortador de Fios (3 em1)</t>
  </si>
  <si>
    <t>ULTRA MÁQUINAS</t>
  </si>
  <si>
    <t>ANHANGUERA FERRAMENTAS</t>
  </si>
  <si>
    <t>Furadeira de Impacto e Parafusadeira sem fio Profissional</t>
  </si>
  <si>
    <t>Cilindro para Nitrogenio de 3M²</t>
  </si>
  <si>
    <t>MISTER CILINDROS DE GÁS</t>
  </si>
  <si>
    <t>Estilete profissional 18mm</t>
  </si>
  <si>
    <t>Extensão Elétrica (10 metros)</t>
  </si>
  <si>
    <t>Jogo de Chaves de Fenda (5 peças)</t>
  </si>
  <si>
    <t>Jogo de Chaves Allen de 2mm a 10mm (8 peças)</t>
  </si>
  <si>
    <t>Jogo de Soquetes Estriados Encaixe 1/2 Pol. 10 mm a 32 mm</t>
  </si>
  <si>
    <t>Kit Flangeador excentrico com catraca, e limitador de toque de 1/4 a 3/4</t>
  </si>
  <si>
    <t>Jogo de Brocas SDS Plus</t>
  </si>
  <si>
    <t>Maquina de Solda Eletrica, 250 A, 110/220V</t>
  </si>
  <si>
    <t>PALÁCIO DAS FERRAMENTAS</t>
  </si>
  <si>
    <t>Mangueira 1/2" (100 metros)</t>
  </si>
  <si>
    <t>PONTO TECNOLOGIA</t>
  </si>
  <si>
    <t>ARA
PONTO</t>
  </si>
  <si>
    <t>Relogio de ponto biometrico Homologado</t>
  </si>
  <si>
    <t>CANAL AUTOMAÇÃO</t>
  </si>
  <si>
    <t>Recolhedora de gás refrigerante, 3/4HP,  bivolt</t>
  </si>
  <si>
    <t>SURYHA</t>
  </si>
  <si>
    <t>Termometro infravermelho, Tipo Pistola, Faixas de Medição (Infravermelho) de -50 a 380°C</t>
  </si>
  <si>
    <t xml:space="preserve">Detector de Tensão </t>
  </si>
  <si>
    <t>MERCADO LIVRE</t>
  </si>
  <si>
    <t>ARTECH</t>
  </si>
  <si>
    <t>PLANILHA ESTIMATIVA ANUAL DE PREÇOS DE EQUIPAMENTOS DE PROTEÇÃO INDIVIDUAL 
- EPI</t>
  </si>
  <si>
    <t>Travaquedas para Corda 12mm NR 18</t>
  </si>
  <si>
    <t>Mosquetão Oval de Aço  com Fechamento em Rosca</t>
  </si>
  <si>
    <t>Parafuso ponta agulha 25mm para drywal</t>
  </si>
  <si>
    <t>Maçarico Portátil Acendimento Automático Turbo Torch Com Mangueira 1,10M</t>
  </si>
  <si>
    <t>Carga de Gás nitrogênio para verificar vazamento e limpeza de tubulação, para cilindro de 10 m³ 
(50 litros)</t>
  </si>
  <si>
    <t>Carga de Gás nitrogênio para verificar vazamento e limpeza de tubulação, para cilindro de 3 m³ 
(20 litros)</t>
  </si>
  <si>
    <t>Fluxo para solda em pasta</t>
  </si>
  <si>
    <t>LEROY 
MERLIN</t>
  </si>
  <si>
    <t>Porca Zincada Sextavada Polida 5/16 - caixa 200pçs</t>
  </si>
  <si>
    <t>FG
FERRAMENTAS</t>
  </si>
  <si>
    <t>AR
TECH</t>
  </si>
  <si>
    <t>SUDESTE
CLIMATIZAÇÃO</t>
  </si>
  <si>
    <t>Bomba de Dreno Maxi Orange FP 2299 220V Aspen</t>
  </si>
  <si>
    <t>TE PVC soldável 20 mm</t>
  </si>
  <si>
    <t>TE PVC soldável 25 mm</t>
  </si>
  <si>
    <t>União PVC  soldável 50mm</t>
  </si>
  <si>
    <t>Lubrificante Multiuso - 300 ml</t>
  </si>
  <si>
    <t>SUZUKI ELÉTRICA</t>
  </si>
  <si>
    <r>
      <rPr>
        <b/>
        <sz val="12"/>
        <rFont val="Calibri"/>
        <family val="2"/>
        <scheme val="minor"/>
      </rPr>
      <t xml:space="preserve">C.2. </t>
    </r>
    <r>
      <rPr>
        <sz val="12"/>
        <rFont val="Calibri"/>
        <family val="2"/>
        <scheme val="minor"/>
      </rPr>
      <t xml:space="preserve">Tributos Estaduais  - ISS (5%) (Distrito Federal) </t>
    </r>
  </si>
  <si>
    <r>
      <rPr>
        <b/>
        <sz val="12"/>
        <rFont val="Calibri"/>
        <family val="2"/>
        <scheme val="minor"/>
      </rPr>
      <t xml:space="preserve">Módulo 1 </t>
    </r>
    <r>
      <rPr>
        <sz val="12"/>
        <rFont val="Calibri"/>
        <family val="2"/>
        <scheme val="minor"/>
      </rPr>
      <t>– Composição da Remuneração</t>
    </r>
  </si>
  <si>
    <r>
      <rPr>
        <b/>
        <sz val="12"/>
        <rFont val="Calibri"/>
        <family val="2"/>
        <scheme val="minor"/>
      </rPr>
      <t xml:space="preserve">Módulo 2 </t>
    </r>
    <r>
      <rPr>
        <sz val="12"/>
        <rFont val="Calibri"/>
        <family val="2"/>
        <scheme val="minor"/>
      </rPr>
      <t>– Encargos e Benefícios Anuais, Mensais e Diários</t>
    </r>
  </si>
  <si>
    <r>
      <rPr>
        <b/>
        <sz val="12"/>
        <rFont val="Calibri"/>
        <family val="2"/>
        <scheme val="minor"/>
      </rPr>
      <t xml:space="preserve">Módulo 3 </t>
    </r>
    <r>
      <rPr>
        <sz val="12"/>
        <rFont val="Calibri"/>
        <family val="2"/>
        <scheme val="minor"/>
      </rPr>
      <t>– Provisão para Rescisão</t>
    </r>
  </si>
  <si>
    <r>
      <rPr>
        <b/>
        <sz val="12"/>
        <rFont val="Calibri"/>
        <family val="2"/>
        <scheme val="minor"/>
      </rPr>
      <t xml:space="preserve">Módulo 4 </t>
    </r>
    <r>
      <rPr>
        <sz val="12"/>
        <rFont val="Calibri"/>
        <family val="2"/>
        <scheme val="minor"/>
      </rPr>
      <t>– Custo de Reposição do Profissional Ausente</t>
    </r>
  </si>
  <si>
    <r>
      <rPr>
        <b/>
        <sz val="12"/>
        <rFont val="Calibri"/>
        <family val="2"/>
        <scheme val="minor"/>
      </rPr>
      <t xml:space="preserve">Módulo 5 </t>
    </r>
    <r>
      <rPr>
        <sz val="12"/>
        <rFont val="Calibri"/>
        <family val="2"/>
        <scheme val="minor"/>
      </rPr>
      <t>- Insumos Diversos</t>
    </r>
  </si>
  <si>
    <r>
      <rPr>
        <b/>
        <sz val="12"/>
        <rFont val="Calibri"/>
        <family val="2"/>
        <scheme val="minor"/>
      </rPr>
      <t xml:space="preserve">Módulo 6 </t>
    </r>
    <r>
      <rPr>
        <sz val="12"/>
        <rFont val="Calibri"/>
        <family val="2"/>
        <scheme val="minor"/>
      </rPr>
      <t>– Custos Indiretos, Tributos e Lucro</t>
    </r>
  </si>
  <si>
    <t>DISCRIMINAÇÃO DOS SERVIÇOS 
(DADOS REFERENTES À CONTRATAÇÃO)</t>
  </si>
  <si>
    <t xml:space="preserve">Incidência dos encargos do Submódulo 2.2 sobre o Aviso Prévio Trabalhado </t>
  </si>
  <si>
    <t xml:space="preserve">Encarregado(a) Geral de Manutenção </t>
  </si>
  <si>
    <t>Auxílio Alimentação - R$44,30</t>
  </si>
  <si>
    <t>Férias</t>
  </si>
  <si>
    <t>1º de Janeiro</t>
  </si>
  <si>
    <t>Assistência Saúde - Plano Ambulatorial</t>
  </si>
  <si>
    <r>
      <rPr>
        <b/>
        <sz val="12"/>
        <rFont val="Calibri"/>
        <family val="2"/>
        <scheme val="minor"/>
      </rPr>
      <t xml:space="preserve">C.2. </t>
    </r>
    <r>
      <rPr>
        <sz val="12"/>
        <rFont val="Calibri"/>
        <family val="2"/>
        <scheme val="minor"/>
      </rPr>
      <t xml:space="preserve">Tributos Estaduais  - ISSQN (5%) (Distrito Federal) </t>
    </r>
  </si>
  <si>
    <r>
      <rPr>
        <b/>
        <sz val="12"/>
        <rFont val="Calibri"/>
        <family val="2"/>
        <scheme val="minor"/>
      </rPr>
      <t xml:space="preserve">C.1. </t>
    </r>
    <r>
      <rPr>
        <sz val="12"/>
        <rFont val="Calibri"/>
        <family val="2"/>
        <scheme val="minor"/>
      </rPr>
      <t xml:space="preserve">Tributos Federais - PIS (0,65% ) + COFINS (3 %) </t>
    </r>
  </si>
  <si>
    <t>Postos</t>
  </si>
  <si>
    <t>Mão de Obra vinculada à execução contratual</t>
  </si>
  <si>
    <t>Dados complementares para composição dos custos referente à mão de obra</t>
  </si>
  <si>
    <t xml:space="preserve">Tipo de Serviço </t>
  </si>
  <si>
    <t>Salário Normativo da categoria profissional</t>
  </si>
  <si>
    <t>Data base da categoria (dia/mês/ano)</t>
  </si>
  <si>
    <t>Coordenação de Equipe e Serviços</t>
  </si>
  <si>
    <t>MÓDULO 1 :   COMPOSIÇÃO DA REMUNERAÇÃO (M1)</t>
  </si>
  <si>
    <t>CCT 2025/2026/SINDSERVIÇOS DF</t>
  </si>
  <si>
    <t>Serviço Comum de Engenharia Continuado</t>
  </si>
  <si>
    <t>Adicional de Hora Extra</t>
  </si>
  <si>
    <t>MÓDULO 2:   ENCARGOS E BENEFÍCIOS ANUAIS, MENSAIS E DIÁRIOS (M2)</t>
  </si>
  <si>
    <t>Total Módulo 1 (M1)</t>
  </si>
  <si>
    <t xml:space="preserve">Total Submódulo 2.1 </t>
  </si>
  <si>
    <t>Total Submódulo 2.2</t>
  </si>
  <si>
    <t>Total Submódulo 2.3</t>
  </si>
  <si>
    <t>Total Módulo 2 (M2)</t>
  </si>
  <si>
    <t>MÓDULO 3 - PROVISÃO PARA RESCISÃO (M3)</t>
  </si>
  <si>
    <t>Total Módulo 3 (M3)</t>
  </si>
  <si>
    <t>MÓDULO 4 - CUSTO DE REPOSIÇÃO DO PROFISSIONAL AUSENTE (M4)</t>
  </si>
  <si>
    <t>M3</t>
  </si>
  <si>
    <t>M2</t>
  </si>
  <si>
    <t>M1</t>
  </si>
  <si>
    <t>M4</t>
  </si>
  <si>
    <t xml:space="preserve"> Substituto nas Ausências Legais</t>
  </si>
  <si>
    <t>M5</t>
  </si>
  <si>
    <r>
      <t xml:space="preserve">Ferramentas e Equipamentos
*Depreciação Anual de 20%
</t>
    </r>
    <r>
      <rPr>
        <b/>
        <sz val="12"/>
        <rFont val="Calibri"/>
        <family val="2"/>
        <scheme val="minor"/>
      </rPr>
      <t>(valor total rateado entre 14 funcionários)</t>
    </r>
  </si>
  <si>
    <t>Total Módulo 5 (M5)</t>
  </si>
  <si>
    <t>Materiais e peças (mediante planilha a parte, na forma de ressarcimento)</t>
  </si>
  <si>
    <t>MÓDULO 6 - CUSTOS INDIRETOS, TRIBUTOS e LUCRO (M6)</t>
  </si>
  <si>
    <t>M6</t>
  </si>
  <si>
    <r>
      <t xml:space="preserve"> Equipamentos de Proteção Individual - EPI
</t>
    </r>
    <r>
      <rPr>
        <b/>
        <sz val="12"/>
        <rFont val="Calibri"/>
        <family val="2"/>
        <scheme val="minor"/>
      </rPr>
      <t>(valor total rateado entre 14 funcionários)</t>
    </r>
  </si>
  <si>
    <t>QUADRO-RESUMO DO CUSTO POR EMPREGADO</t>
  </si>
  <si>
    <t>Total Módulo 6 (M6)</t>
  </si>
  <si>
    <t>MÓDULO 5 - INSUMOS DIVERSOS DE MÃO OBRA(M5)</t>
  </si>
  <si>
    <r>
      <rPr>
        <b/>
        <sz val="12"/>
        <rFont val="Calibri"/>
        <family val="2"/>
        <scheme val="minor"/>
      </rPr>
      <t xml:space="preserve">Módulo 5 </t>
    </r>
    <r>
      <rPr>
        <sz val="12"/>
        <rFont val="Calibri"/>
        <family val="2"/>
        <scheme val="minor"/>
      </rPr>
      <t>- Insumos Diversos</t>
    </r>
    <r>
      <rPr>
        <sz val="12"/>
        <color rgb="FF000000"/>
        <rFont val="Calibri"/>
        <family val="2"/>
        <scheme val="minor"/>
      </rPr>
      <t xml:space="preserve"> de Mão de Obra</t>
    </r>
  </si>
  <si>
    <t>Encarregado Geral de Manutenção</t>
  </si>
  <si>
    <t>Riscos Ambientais</t>
  </si>
  <si>
    <t>RISCOS AMBIENTAIS</t>
  </si>
  <si>
    <t>Auxílio Refeição/Alimentação - R$44,86</t>
  </si>
  <si>
    <t>CCT 2024/2025/SINTEC DF</t>
  </si>
  <si>
    <t>Técnico(a) em Refrigeração e Ar Condicionado</t>
  </si>
  <si>
    <t>01 Janeiro</t>
  </si>
  <si>
    <t>QUADRO RESUMO (MÃO DE OBRA + MATERIAIS + SERVIÇOS ESPECIALIZADOS)</t>
  </si>
  <si>
    <t>Técnico(a) em Segurança do Trabalho</t>
  </si>
  <si>
    <t>Manutenção e Reparos de Aparelhos de Ar Condicionado</t>
  </si>
  <si>
    <t>OBS: ITEM 2.1 C SE REFERE SOMENTE O ADICIONAL DE FÉRIAS PARA O PROFISSIONAL. O CUSTO DA REPOSIÇÃO DO MESMO DURANTE AS FÉRIAS SE ENCONTRA NO ITEM M4 A</t>
  </si>
  <si>
    <t>Inspeção e Controle de Riscos Acidentais</t>
  </si>
  <si>
    <t>Total Módulo 4 (M4)</t>
  </si>
  <si>
    <t>SINTEST DF/DECLARAÇÃO 2025 + CCT 2024/2025/SINTEC DF</t>
  </si>
  <si>
    <t>Ajudante de Técnico de Refrigeração</t>
  </si>
  <si>
    <t>Ajudante Geral de Manutenção e Reparos</t>
  </si>
  <si>
    <r>
      <rPr>
        <b/>
        <sz val="12"/>
        <rFont val="Calibri"/>
        <family val="2"/>
        <scheme val="minor"/>
      </rPr>
      <t xml:space="preserve">C.1. </t>
    </r>
    <r>
      <rPr>
        <sz val="12"/>
        <rFont val="Calibri"/>
        <family val="2"/>
        <scheme val="minor"/>
      </rPr>
      <t>Tributos Federais - PIS (0,65% ) + COFINS (3 %)</t>
    </r>
  </si>
  <si>
    <t>III</t>
  </si>
  <si>
    <t>VALOR MENSAL DOS SERVIÇOS (I + II + III + IV)</t>
  </si>
  <si>
    <t>Calça Jeans Tradicional, cor azul.</t>
  </si>
  <si>
    <t>PLANILHA ESTIMATIVA ANUAL DE PREÇOS - UNIFORMES</t>
  </si>
  <si>
    <t>Botina de Segurança com Cadarço</t>
  </si>
  <si>
    <t>LOJA MIRANTE</t>
  </si>
  <si>
    <t>Camisa Gola Polo Piquet, com a logomarca da Contratada e o Cargo Estampado</t>
  </si>
  <si>
    <t>Camiseta Manga Longa Algodão Gola Redonda (dias de frio)</t>
  </si>
  <si>
    <t>HM LOJA</t>
  </si>
  <si>
    <t>CRISTINA UNIFORMES</t>
  </si>
  <si>
    <t>DIMONA</t>
  </si>
  <si>
    <t>TOTAL GERAL ANUAL UNIFORMES EQUIPE</t>
  </si>
  <si>
    <t>TUDO FERRAMENTAS</t>
  </si>
  <si>
    <t>Saco de plástico para lixo reforçado, 100 litros, pacote com 100 unidades</t>
  </si>
  <si>
    <t>Saco de pano/tecido alvejado med.70x40cm</t>
  </si>
  <si>
    <t>GUIPACK</t>
  </si>
  <si>
    <t>ELASTOBOR</t>
  </si>
  <si>
    <t>MULTIFRIO REFRIGEREÇÃO</t>
  </si>
  <si>
    <t>Valor Unitário Médio</t>
  </si>
  <si>
    <t>Válvula de serviço de 3/8 (Baixa ou Sucção)</t>
  </si>
  <si>
    <t>Válvula de serviço de 1/2 (Baixa ou Sucção)</t>
  </si>
  <si>
    <t>Válvula de serviço de 5/8 (Baixa ou Sucção)</t>
  </si>
  <si>
    <t>Válvula de serviço de 3/4 (Baixa ou Sucção)</t>
  </si>
  <si>
    <t>Compressor rotativo, 220 V 60Hz para Splits de  12.000 BTU/h - R22</t>
  </si>
  <si>
    <t>Compressor rotativo, 220 V 60Hz para Splits de  18.000 BTU/h - R22</t>
  </si>
  <si>
    <t>Compressor rotativo, 220 V 60Hz para Splits de  24.000 BTU/h - R22</t>
  </si>
  <si>
    <t>Compressor rotativo, 220 V 60Hz para Splits de  36.000 BTU/h - R22</t>
  </si>
  <si>
    <t>Compressor rotativo, 220 V 60Hz para Splits de  48.000 BTU/h - R22</t>
  </si>
  <si>
    <t>Compressor rotativo, 220 V 60Hz para Splits de  60.000 BTU/h - R22</t>
  </si>
  <si>
    <t>Compressor rotativo, 220V, 60Hz para Splits de  09.000 BTU/h - R22</t>
  </si>
  <si>
    <t>ACRILANDIA</t>
  </si>
  <si>
    <t>ACRILOJA</t>
  </si>
  <si>
    <t>Defletores para Ar Condicionado Corte a Lazer para Cassete - 4 vias</t>
  </si>
  <si>
    <t>CASA DO SACO DE LIXO</t>
  </si>
  <si>
    <t>DIMENSIONAL</t>
  </si>
  <si>
    <t>Contator modelo cw07-10e 220v</t>
  </si>
  <si>
    <t>Contator modelo cw25-10e 220v</t>
  </si>
  <si>
    <t>ELETRO FM</t>
  </si>
  <si>
    <t>Conector Sindal para fios de 4mm,  12 bornes (embalagem c/10)</t>
  </si>
  <si>
    <t>Conector Sindal para fios de 6mm, 12 bornes (embalagem c/10)</t>
  </si>
  <si>
    <t>Controle remoto modelo CNT06906 ou CNT 3725 Trane (MCXE)</t>
  </si>
  <si>
    <t>CIBREL</t>
  </si>
  <si>
    <t>Edital nº 39 | Processo 1170/2025</t>
  </si>
  <si>
    <t>Edital nº 58/2024</t>
  </si>
  <si>
    <t>Contratação Direta nº 46/2025</t>
  </si>
  <si>
    <t>Compras Governamentais</t>
  </si>
  <si>
    <t>Parafuso S8 Fer Chata PHS ZINC Branco para alvenaria 4,8 x 45</t>
  </si>
  <si>
    <t>Bucha S8 para Alvenaria (embalagem 100pcs)</t>
  </si>
  <si>
    <t>Chumbador Parabolt prisioneiro bucha metal 5/16" x 75 mm</t>
  </si>
  <si>
    <t>Detergente/Limpeza Tipo Veja Multiusos, 500ml</t>
  </si>
  <si>
    <t>ATACADÃO</t>
  </si>
  <si>
    <t>COMPER</t>
  </si>
  <si>
    <t>CARREFOUR</t>
  </si>
  <si>
    <t>BANCO DE PREÇOS</t>
  </si>
  <si>
    <t>AMBIENTALIS ANALISES - CONSELHO REGIONAL DE MEDICINA DO ESTADO DE SAO PAULO</t>
  </si>
  <si>
    <t>CONTRATAÇÃO DIRETA Nº 4/2025
CONSELHO REGIONAL DE FARMACIA DO RIO GRANDE DO SUL</t>
  </si>
  <si>
    <t>CONTRATAÇÃO DIRETA Nº 26/2025
MINISTERIO PUBLICO DA UNIAO</t>
  </si>
  <si>
    <t>Análise Gravimétrica de Material Particulado (2 amostras/semestralmente)</t>
  </si>
  <si>
    <t>Locação de Andaime Suspenso Motorizado - Plataforma de 3 a 6 metros</t>
  </si>
  <si>
    <t>MAIS GASES</t>
  </si>
  <si>
    <t>MERCADO</t>
  </si>
  <si>
    <t>RF ENGENHARIA</t>
  </si>
  <si>
    <t>WHITE MARTINS</t>
  </si>
  <si>
    <t>LOMAQ</t>
  </si>
  <si>
    <t>CONFORLAB + LIMPDUTOS</t>
  </si>
  <si>
    <t>Valor Global da Proposta (valor mensal do serviço x 36 meses do contrato)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</si>
</sst>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* #,##0.00_-;\-&quot;R$&quot;* #,##0.00_-;_-&quot;R$&quot;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dd/mm/yyyy;@"/>
    <numFmt numFmtId="167" formatCode="0.0%"/>
    <numFmt numFmtId="168" formatCode="&quot;R$&quot;#,##0.00"/>
    <numFmt numFmtId="169" formatCode="&quot;R$&quot;\ #,##0.00"/>
    <numFmt numFmtId="170" formatCode="#,##0_ ;\-#,##0\ "/>
  </numFmts>
  <fonts count="3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8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Times New Roman"/>
      <family val="1"/>
    </font>
    <font>
      <sz val="12"/>
      <color rgb="FFFF0000"/>
      <name val="Calibri"/>
      <family val="2"/>
      <scheme val="minor"/>
    </font>
    <font>
      <b/>
      <sz val="12"/>
      <color rgb="FF0077D0"/>
      <name val="Calibri"/>
      <family val="2"/>
      <scheme val="minor"/>
    </font>
    <font>
      <b/>
      <sz val="12"/>
      <name val="Calibri"/>
      <family val="2"/>
    </font>
    <font>
      <sz val="12"/>
      <color indexed="8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b/>
      <sz val="14"/>
      <color theme="0"/>
      <name val="Calibri"/>
      <family val="2"/>
    </font>
    <font>
      <b/>
      <sz val="12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5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2" fillId="0" borderId="0"/>
  </cellStyleXfs>
  <cellXfs count="383">
    <xf numFmtId="0" fontId="0" fillId="0" borderId="0" xfId="0" applyAlignment="1">
      <alignment horizontal="left" vertical="top"/>
    </xf>
    <xf numFmtId="0" fontId="3" fillId="0" borderId="0" xfId="0" applyFont="1" applyAlignment="1">
      <alignment horizontal="center" vertical="center"/>
    </xf>
    <xf numFmtId="10" fontId="0" fillId="0" borderId="0" xfId="0" applyNumberFormat="1" applyAlignment="1">
      <alignment horizontal="left" vertical="top"/>
    </xf>
    <xf numFmtId="0" fontId="1" fillId="0" borderId="8" xfId="0" applyFont="1" applyBorder="1" applyAlignment="1">
      <alignment horizontal="center" vertical="center" wrapText="1"/>
    </xf>
    <xf numFmtId="10" fontId="1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0" fontId="4" fillId="3" borderId="8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10" fontId="8" fillId="3" borderId="9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2" borderId="0" xfId="0" applyFont="1" applyFill="1"/>
    <xf numFmtId="4" fontId="7" fillId="0" borderId="0" xfId="0" applyNumberFormat="1" applyFont="1"/>
    <xf numFmtId="165" fontId="7" fillId="0" borderId="0" xfId="1" applyFont="1"/>
    <xf numFmtId="168" fontId="7" fillId="0" borderId="1" xfId="0" applyNumberFormat="1" applyFont="1" applyBorder="1" applyAlignment="1">
      <alignment horizontal="justify" vertical="center"/>
    </xf>
    <xf numFmtId="168" fontId="7" fillId="0" borderId="1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0" fontId="1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shrinkToFit="1"/>
    </xf>
    <xf numFmtId="0" fontId="14" fillId="0" borderId="0" xfId="0" applyFont="1" applyAlignment="1">
      <alignment horizontal="left" vertical="center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 vertical="center" shrinkToFi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168" fontId="14" fillId="0" borderId="0" xfId="0" applyNumberFormat="1" applyFont="1" applyAlignment="1">
      <alignment horizontal="left" vertical="top"/>
    </xf>
    <xf numFmtId="0" fontId="15" fillId="0" borderId="1" xfId="0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167" fontId="14" fillId="2" borderId="1" xfId="0" applyNumberFormat="1" applyFont="1" applyFill="1" applyBorder="1" applyAlignment="1">
      <alignment horizontal="center" vertical="top" shrinkToFit="1"/>
    </xf>
    <xf numFmtId="168" fontId="12" fillId="2" borderId="1" xfId="1" applyNumberFormat="1" applyFont="1" applyFill="1" applyBorder="1" applyAlignment="1">
      <alignment horizontal="right" vertical="center" shrinkToFit="1"/>
    </xf>
    <xf numFmtId="9" fontId="14" fillId="2" borderId="1" xfId="0" applyNumberFormat="1" applyFont="1" applyFill="1" applyBorder="1" applyAlignment="1">
      <alignment horizontal="center" vertical="top" shrinkToFit="1"/>
    </xf>
    <xf numFmtId="168" fontId="14" fillId="2" borderId="1" xfId="1" applyNumberFormat="1" applyFont="1" applyFill="1" applyBorder="1" applyAlignment="1">
      <alignment horizontal="right" vertical="center" shrinkToFit="1"/>
    </xf>
    <xf numFmtId="168" fontId="16" fillId="6" borderId="1" xfId="1" applyNumberFormat="1" applyFont="1" applyFill="1" applyBorder="1" applyAlignment="1">
      <alignment horizontal="right" vertical="center" shrinkToFit="1"/>
    </xf>
    <xf numFmtId="1" fontId="12" fillId="7" borderId="1" xfId="0" applyNumberFormat="1" applyFont="1" applyFill="1" applyBorder="1" applyAlignment="1">
      <alignment horizontal="center" vertical="top" shrinkToFit="1"/>
    </xf>
    <xf numFmtId="10" fontId="15" fillId="2" borderId="1" xfId="0" applyNumberFormat="1" applyFont="1" applyFill="1" applyBorder="1" applyAlignment="1">
      <alignment horizontal="center" vertical="center" shrinkToFit="1"/>
    </xf>
    <xf numFmtId="168" fontId="15" fillId="2" borderId="1" xfId="1" applyNumberFormat="1" applyFont="1" applyFill="1" applyBorder="1" applyAlignment="1">
      <alignment horizontal="right" vertical="center" shrinkToFit="1"/>
    </xf>
    <xf numFmtId="168" fontId="13" fillId="7" borderId="1" xfId="0" applyNumberFormat="1" applyFont="1" applyFill="1" applyBorder="1" applyAlignment="1">
      <alignment horizontal="center" vertical="top" wrapText="1"/>
    </xf>
    <xf numFmtId="0" fontId="13" fillId="7" borderId="11" xfId="0" applyFont="1" applyFill="1" applyBorder="1" applyAlignment="1">
      <alignment vertical="center" wrapText="1"/>
    </xf>
    <xf numFmtId="0" fontId="13" fillId="7" borderId="16" xfId="0" applyFont="1" applyFill="1" applyBorder="1" applyAlignment="1">
      <alignment vertical="center" wrapText="1"/>
    </xf>
    <xf numFmtId="0" fontId="13" fillId="7" borderId="1" xfId="0" applyFont="1" applyFill="1" applyBorder="1" applyAlignment="1">
      <alignment horizontal="center" vertical="center" wrapText="1"/>
    </xf>
    <xf numFmtId="168" fontId="13" fillId="7" borderId="1" xfId="0" applyNumberFormat="1" applyFont="1" applyFill="1" applyBorder="1" applyAlignment="1">
      <alignment horizontal="center" vertical="center" wrapText="1"/>
    </xf>
    <xf numFmtId="168" fontId="13" fillId="7" borderId="1" xfId="0" applyNumberFormat="1" applyFont="1" applyFill="1" applyBorder="1" applyAlignment="1">
      <alignment horizontal="right" vertical="center" shrinkToFit="1"/>
    </xf>
    <xf numFmtId="10" fontId="14" fillId="2" borderId="1" xfId="0" applyNumberFormat="1" applyFont="1" applyFill="1" applyBorder="1" applyAlignment="1">
      <alignment horizontal="center" vertical="top" shrinkToFit="1"/>
    </xf>
    <xf numFmtId="10" fontId="14" fillId="2" borderId="1" xfId="0" applyNumberFormat="1" applyFont="1" applyFill="1" applyBorder="1" applyAlignment="1">
      <alignment horizontal="center" vertical="center" shrinkToFit="1"/>
    </xf>
    <xf numFmtId="168" fontId="12" fillId="7" borderId="1" xfId="1" applyNumberFormat="1" applyFont="1" applyFill="1" applyBorder="1" applyAlignment="1">
      <alignment horizontal="right"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wrapText="1"/>
    </xf>
    <xf numFmtId="44" fontId="16" fillId="6" borderId="1" xfId="1" applyNumberFormat="1" applyFont="1" applyFill="1" applyBorder="1" applyAlignment="1">
      <alignment horizontal="right" vertical="center" shrinkToFit="1"/>
    </xf>
    <xf numFmtId="1" fontId="12" fillId="7" borderId="1" xfId="0" applyNumberFormat="1" applyFont="1" applyFill="1" applyBorder="1" applyAlignment="1">
      <alignment horizontal="center" vertical="center" shrinkToFit="1"/>
    </xf>
    <xf numFmtId="168" fontId="16" fillId="6" borderId="1" xfId="1" applyNumberFormat="1" applyFont="1" applyFill="1" applyBorder="1" applyAlignment="1">
      <alignment vertical="center" shrinkToFit="1"/>
    </xf>
    <xf numFmtId="10" fontId="13" fillId="2" borderId="1" xfId="0" applyNumberFormat="1" applyFont="1" applyFill="1" applyBorder="1" applyAlignment="1">
      <alignment horizontal="center" vertical="center"/>
    </xf>
    <xf numFmtId="10" fontId="15" fillId="2" borderId="1" xfId="0" applyNumberFormat="1" applyFont="1" applyFill="1" applyBorder="1" applyAlignment="1">
      <alignment horizontal="center" vertical="center"/>
    </xf>
    <xf numFmtId="169" fontId="14" fillId="2" borderId="1" xfId="1" applyNumberFormat="1" applyFont="1" applyFill="1" applyBorder="1" applyAlignment="1">
      <alignment vertical="center" shrinkToFit="1"/>
    </xf>
    <xf numFmtId="169" fontId="12" fillId="2" borderId="1" xfId="1" applyNumberFormat="1" applyFont="1" applyFill="1" applyBorder="1" applyAlignment="1">
      <alignment vertical="center" shrinkToFit="1"/>
    </xf>
    <xf numFmtId="4" fontId="16" fillId="6" borderId="1" xfId="2" applyNumberFormat="1" applyFont="1" applyFill="1" applyBorder="1" applyAlignment="1">
      <alignment horizontal="right" vertical="center" wrapText="1"/>
    </xf>
    <xf numFmtId="169" fontId="16" fillId="6" borderId="1" xfId="1" applyNumberFormat="1" applyFont="1" applyFill="1" applyBorder="1" applyAlignment="1">
      <alignment vertical="center" shrinkToFit="1"/>
    </xf>
    <xf numFmtId="0" fontId="14" fillId="2" borderId="0" xfId="0" applyFont="1" applyFill="1" applyAlignment="1">
      <alignment horizontal="left" vertical="top"/>
    </xf>
    <xf numFmtId="1" fontId="14" fillId="2" borderId="1" xfId="0" applyNumberFormat="1" applyFont="1" applyFill="1" applyBorder="1" applyAlignment="1">
      <alignment horizontal="center" vertical="center" shrinkToFit="1"/>
    </xf>
    <xf numFmtId="168" fontId="12" fillId="7" borderId="1" xfId="0" applyNumberFormat="1" applyFont="1" applyFill="1" applyBorder="1" applyAlignment="1">
      <alignment horizontal="right" vertical="center" shrinkToFit="1"/>
    </xf>
    <xf numFmtId="0" fontId="13" fillId="7" borderId="1" xfId="0" applyFont="1" applyFill="1" applyBorder="1" applyAlignment="1">
      <alignment horizontal="center" vertical="top" wrapText="1"/>
    </xf>
    <xf numFmtId="168" fontId="13" fillId="7" borderId="3" xfId="0" applyNumberFormat="1" applyFont="1" applyFill="1" applyBorder="1" applyAlignment="1">
      <alignment horizontal="center" vertical="center" wrapText="1"/>
    </xf>
    <xf numFmtId="168" fontId="15" fillId="2" borderId="1" xfId="2" applyNumberFormat="1" applyFont="1" applyFill="1" applyBorder="1" applyAlignment="1">
      <alignment horizontal="right" vertical="center" wrapText="1"/>
    </xf>
    <xf numFmtId="4" fontId="15" fillId="2" borderId="1" xfId="2" applyNumberFormat="1" applyFont="1" applyFill="1" applyBorder="1" applyAlignment="1">
      <alignment horizontal="right" vertical="center" wrapText="1"/>
    </xf>
    <xf numFmtId="168" fontId="14" fillId="2" borderId="1" xfId="0" applyNumberFormat="1" applyFont="1" applyFill="1" applyBorder="1" applyAlignment="1">
      <alignment horizontal="right" vertical="center" shrinkToFit="1"/>
    </xf>
    <xf numFmtId="168" fontId="12" fillId="7" borderId="16" xfId="0" applyNumberFormat="1" applyFont="1" applyFill="1" applyBorder="1" applyAlignment="1">
      <alignment horizontal="right" vertical="center" shrinkToFit="1"/>
    </xf>
    <xf numFmtId="1" fontId="12" fillId="2" borderId="1" xfId="0" applyNumberFormat="1" applyFont="1" applyFill="1" applyBorder="1" applyAlignment="1">
      <alignment horizontal="center" vertical="center" shrinkToFit="1"/>
    </xf>
    <xf numFmtId="168" fontId="13" fillId="2" borderId="1" xfId="0" applyNumberFormat="1" applyFont="1" applyFill="1" applyBorder="1" applyAlignment="1">
      <alignment horizontal="center" vertical="center" wrapText="1"/>
    </xf>
    <xf numFmtId="44" fontId="15" fillId="0" borderId="1" xfId="0" applyNumberFormat="1" applyFont="1" applyBorder="1" applyAlignment="1">
      <alignment horizontal="right" vertical="center" shrinkToFit="1"/>
    </xf>
    <xf numFmtId="44" fontId="13" fillId="0" borderId="1" xfId="1" applyNumberFormat="1" applyFont="1" applyFill="1" applyBorder="1" applyAlignment="1">
      <alignment horizontal="right" vertical="center" shrinkToFit="1"/>
    </xf>
    <xf numFmtId="0" fontId="15" fillId="2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/>
    </xf>
    <xf numFmtId="44" fontId="15" fillId="2" borderId="1" xfId="1" applyNumberFormat="1" applyFont="1" applyFill="1" applyBorder="1" applyAlignment="1">
      <alignment horizontal="right" vertical="center" shrinkToFit="1"/>
    </xf>
    <xf numFmtId="0" fontId="15" fillId="7" borderId="1" xfId="0" applyFont="1" applyFill="1" applyBorder="1" applyAlignment="1">
      <alignment horizontal="center" vertical="center" wrapText="1"/>
    </xf>
    <xf numFmtId="44" fontId="13" fillId="7" borderId="1" xfId="1" applyNumberFormat="1" applyFont="1" applyFill="1" applyBorder="1" applyAlignment="1">
      <alignment horizontal="right" vertical="center" shrinkToFit="1"/>
    </xf>
    <xf numFmtId="0" fontId="2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8" fontId="22" fillId="0" borderId="1" xfId="0" applyNumberFormat="1" applyFont="1" applyBorder="1" applyAlignment="1">
      <alignment horizontal="center" vertical="center"/>
    </xf>
    <xf numFmtId="168" fontId="22" fillId="0" borderId="1" xfId="1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170" fontId="22" fillId="0" borderId="1" xfId="1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justify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5" fontId="7" fillId="0" borderId="0" xfId="1" applyFont="1" applyAlignment="1">
      <alignment horizontal="center"/>
    </xf>
    <xf numFmtId="168" fontId="22" fillId="7" borderId="1" xfId="1" applyNumberFormat="1" applyFont="1" applyFill="1" applyBorder="1" applyAlignment="1">
      <alignment horizontal="center" vertical="center"/>
    </xf>
    <xf numFmtId="168" fontId="23" fillId="7" borderId="1" xfId="1" applyNumberFormat="1" applyFont="1" applyFill="1" applyBorder="1" applyAlignment="1">
      <alignment horizontal="center" vertical="center"/>
    </xf>
    <xf numFmtId="168" fontId="7" fillId="7" borderId="1" xfId="0" applyNumberFormat="1" applyFont="1" applyFill="1" applyBorder="1" applyAlignment="1">
      <alignment horizontal="center" vertical="center"/>
    </xf>
    <xf numFmtId="168" fontId="6" fillId="7" borderId="1" xfId="1" applyNumberFormat="1" applyFont="1" applyFill="1" applyBorder="1" applyAlignment="1">
      <alignment horizontal="center" vertical="center"/>
    </xf>
    <xf numFmtId="168" fontId="7" fillId="7" borderId="1" xfId="0" applyNumberFormat="1" applyFont="1" applyFill="1" applyBorder="1" applyAlignment="1">
      <alignment horizontal="center" vertical="center" wrapText="1"/>
    </xf>
    <xf numFmtId="1" fontId="23" fillId="0" borderId="1" xfId="0" applyNumberFormat="1" applyFont="1" applyBorder="1" applyAlignment="1">
      <alignment horizontal="center" vertical="center" shrinkToFi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168" fontId="22" fillId="0" borderId="1" xfId="0" applyNumberFormat="1" applyFont="1" applyBorder="1" applyAlignment="1">
      <alignment horizontal="center" vertical="center" shrinkToFit="1"/>
    </xf>
    <xf numFmtId="1" fontId="20" fillId="0" borderId="1" xfId="0" applyNumberFormat="1" applyFont="1" applyBorder="1" applyAlignment="1">
      <alignment horizontal="center" vertical="center" shrinkToFit="1"/>
    </xf>
    <xf numFmtId="168" fontId="24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top"/>
    </xf>
    <xf numFmtId="168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5" fillId="6" borderId="1" xfId="0" applyFont="1" applyFill="1" applyBorder="1" applyAlignment="1">
      <alignment horizontal="center" vertical="center" wrapText="1"/>
    </xf>
    <xf numFmtId="168" fontId="20" fillId="7" borderId="1" xfId="0" applyNumberFormat="1" applyFont="1" applyFill="1" applyBorder="1" applyAlignment="1">
      <alignment horizontal="center" vertical="center" wrapText="1"/>
    </xf>
    <xf numFmtId="168" fontId="20" fillId="7" borderId="1" xfId="1" applyNumberFormat="1" applyFont="1" applyFill="1" applyBorder="1" applyAlignment="1">
      <alignment horizontal="center" vertical="center"/>
    </xf>
    <xf numFmtId="168" fontId="24" fillId="7" borderId="1" xfId="1" applyNumberFormat="1" applyFont="1" applyFill="1" applyBorder="1" applyAlignment="1">
      <alignment horizontal="center" vertical="center" wrapText="1"/>
    </xf>
    <xf numFmtId="168" fontId="20" fillId="7" borderId="1" xfId="1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165" fontId="6" fillId="7" borderId="1" xfId="1" applyFont="1" applyFill="1" applyBorder="1" applyAlignment="1">
      <alignment horizontal="center" vertical="center" wrapText="1"/>
    </xf>
    <xf numFmtId="165" fontId="7" fillId="7" borderId="1" xfId="1" applyFont="1" applyFill="1" applyBorder="1" applyAlignment="1">
      <alignment horizontal="center" vertical="center"/>
    </xf>
    <xf numFmtId="165" fontId="7" fillId="2" borderId="1" xfId="1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center" vertical="center" wrapText="1"/>
    </xf>
    <xf numFmtId="168" fontId="6" fillId="8" borderId="15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68" fontId="16" fillId="6" borderId="1" xfId="1" applyNumberFormat="1" applyFont="1" applyFill="1" applyBorder="1" applyAlignment="1">
      <alignment horizontal="right" vertical="center"/>
    </xf>
    <xf numFmtId="168" fontId="25" fillId="6" borderId="1" xfId="1" applyNumberFormat="1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  <xf numFmtId="168" fontId="13" fillId="5" borderId="15" xfId="0" applyNumberFormat="1" applyFont="1" applyFill="1" applyBorder="1" applyAlignment="1">
      <alignment horizontal="center" vertical="center" wrapText="1"/>
    </xf>
    <xf numFmtId="168" fontId="20" fillId="5" borderId="15" xfId="0" applyNumberFormat="1" applyFont="1" applyFill="1" applyBorder="1" applyAlignment="1">
      <alignment horizontal="center" vertical="center" wrapText="1"/>
    </xf>
    <xf numFmtId="168" fontId="16" fillId="6" borderId="1" xfId="1" applyNumberFormat="1" applyFont="1" applyFill="1" applyBorder="1" applyAlignment="1">
      <alignment horizontal="center" vertical="center"/>
    </xf>
    <xf numFmtId="165" fontId="14" fillId="0" borderId="0" xfId="1" applyFont="1" applyFill="1" applyBorder="1" applyAlignment="1">
      <alignment horizontal="center" vertical="center"/>
    </xf>
    <xf numFmtId="165" fontId="15" fillId="0" borderId="1" xfId="1" applyFont="1" applyFill="1" applyBorder="1" applyAlignment="1">
      <alignment horizontal="center" vertical="center" shrinkToFit="1"/>
    </xf>
    <xf numFmtId="1" fontId="13" fillId="0" borderId="1" xfId="0" applyNumberFormat="1" applyFont="1" applyBorder="1" applyAlignment="1">
      <alignment horizontal="center" vertical="center" shrinkToFit="1"/>
    </xf>
    <xf numFmtId="165" fontId="15" fillId="0" borderId="1" xfId="0" applyNumberFormat="1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3" fillId="8" borderId="6" xfId="0" applyFont="1" applyFill="1" applyBorder="1" applyAlignment="1">
      <alignment horizontal="center" vertical="center" wrapText="1"/>
    </xf>
    <xf numFmtId="0" fontId="13" fillId="8" borderId="15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69" fontId="13" fillId="5" borderId="1" xfId="0" applyNumberFormat="1" applyFont="1" applyFill="1" applyBorder="1" applyAlignment="1">
      <alignment horizontal="center" vertical="center" wrapText="1"/>
    </xf>
    <xf numFmtId="169" fontId="12" fillId="5" borderId="1" xfId="1" applyNumberFormat="1" applyFont="1" applyFill="1" applyBorder="1" applyAlignment="1">
      <alignment horizontal="center" vertical="center" shrinkToFit="1"/>
    </xf>
    <xf numFmtId="169" fontId="13" fillId="5" borderId="1" xfId="1" applyNumberFormat="1" applyFont="1" applyFill="1" applyBorder="1" applyAlignment="1">
      <alignment horizontal="center" vertical="center" shrinkToFit="1"/>
    </xf>
    <xf numFmtId="169" fontId="27" fillId="5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horizontal="center" vertical="center" shrinkToFit="1"/>
    </xf>
    <xf numFmtId="169" fontId="13" fillId="5" borderId="1" xfId="0" applyNumberFormat="1" applyFont="1" applyFill="1" applyBorder="1" applyAlignment="1">
      <alignment vertical="center"/>
    </xf>
    <xf numFmtId="169" fontId="13" fillId="5" borderId="1" xfId="0" applyNumberFormat="1" applyFont="1" applyFill="1" applyBorder="1" applyAlignment="1">
      <alignment vertical="center" wrapText="1"/>
    </xf>
    <xf numFmtId="169" fontId="13" fillId="0" borderId="1" xfId="1" applyNumberFormat="1" applyFont="1" applyBorder="1" applyAlignment="1">
      <alignment horizontal="center" vertical="center" wrapText="1"/>
    </xf>
    <xf numFmtId="169" fontId="12" fillId="0" borderId="0" xfId="0" applyNumberFormat="1" applyFont="1" applyAlignment="1">
      <alignment horizontal="center" vertical="center"/>
    </xf>
    <xf numFmtId="169" fontId="13" fillId="5" borderId="1" xfId="1" applyNumberFormat="1" applyFont="1" applyFill="1" applyBorder="1" applyAlignment="1">
      <alignment horizontal="center" vertical="center" wrapText="1"/>
    </xf>
    <xf numFmtId="169" fontId="14" fillId="5" borderId="1" xfId="1" applyNumberFormat="1" applyFont="1" applyFill="1" applyBorder="1" applyAlignment="1">
      <alignment horizontal="center" vertical="center" shrinkToFit="1"/>
    </xf>
    <xf numFmtId="169" fontId="15" fillId="5" borderId="1" xfId="1" applyNumberFormat="1" applyFont="1" applyFill="1" applyBorder="1" applyAlignment="1">
      <alignment horizontal="center" vertical="center" shrinkToFit="1"/>
    </xf>
    <xf numFmtId="169" fontId="18" fillId="5" borderId="1" xfId="1" applyNumberFormat="1" applyFont="1" applyFill="1" applyBorder="1" applyAlignment="1">
      <alignment horizontal="center" vertical="center" shrinkToFit="1"/>
    </xf>
    <xf numFmtId="169" fontId="15" fillId="0" borderId="1" xfId="1" applyNumberFormat="1" applyFont="1" applyFill="1" applyBorder="1" applyAlignment="1">
      <alignment horizontal="center" vertical="center" shrinkToFit="1"/>
    </xf>
    <xf numFmtId="169" fontId="14" fillId="0" borderId="0" xfId="1" applyNumberFormat="1" applyFont="1" applyFill="1" applyBorder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justify" vertical="center" wrapText="1"/>
    </xf>
    <xf numFmtId="0" fontId="3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165" fontId="7" fillId="0" borderId="1" xfId="1" applyFont="1" applyBorder="1" applyAlignment="1">
      <alignment horizontal="center" vertical="center" wrapText="1"/>
    </xf>
    <xf numFmtId="44" fontId="7" fillId="3" borderId="1" xfId="0" applyNumberFormat="1" applyFont="1" applyFill="1" applyBorder="1" applyAlignment="1">
      <alignment horizontal="center" vertical="center" wrapText="1"/>
    </xf>
    <xf numFmtId="44" fontId="7" fillId="3" borderId="1" xfId="1" applyNumberFormat="1" applyFont="1" applyFill="1" applyBorder="1" applyAlignment="1">
      <alignment horizontal="right" vertical="center"/>
    </xf>
    <xf numFmtId="44" fontId="7" fillId="3" borderId="1" xfId="0" applyNumberFormat="1" applyFont="1" applyFill="1" applyBorder="1" applyAlignment="1">
      <alignment horizontal="center" vertical="center"/>
    </xf>
    <xf numFmtId="44" fontId="7" fillId="3" borderId="1" xfId="1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justify" vertical="center"/>
    </xf>
    <xf numFmtId="165" fontId="3" fillId="0" borderId="0" xfId="1" applyFont="1"/>
    <xf numFmtId="0" fontId="7" fillId="3" borderId="11" xfId="0" applyFont="1" applyFill="1" applyBorder="1" applyAlignment="1">
      <alignment horizontal="center" vertical="center" wrapText="1"/>
    </xf>
    <xf numFmtId="169" fontId="29" fillId="7" borderId="1" xfId="1" applyNumberFormat="1" applyFont="1" applyFill="1" applyBorder="1" applyAlignment="1">
      <alignment horizontal="center" vertical="center" shrinkToFit="1"/>
    </xf>
    <xf numFmtId="168" fontId="7" fillId="3" borderId="1" xfId="1" applyNumberFormat="1" applyFont="1" applyFill="1" applyBorder="1" applyAlignment="1">
      <alignment horizontal="center" vertical="center"/>
    </xf>
    <xf numFmtId="44" fontId="13" fillId="0" borderId="1" xfId="0" applyNumberFormat="1" applyFont="1" applyBorder="1" applyAlignment="1">
      <alignment horizontal="left" vertical="top"/>
    </xf>
    <xf numFmtId="44" fontId="14" fillId="0" borderId="0" xfId="0" applyNumberFormat="1" applyFont="1" applyAlignment="1">
      <alignment horizontal="left" vertical="top"/>
    </xf>
    <xf numFmtId="0" fontId="15" fillId="2" borderId="1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16" xfId="0" applyFont="1" applyFill="1" applyBorder="1" applyAlignment="1">
      <alignment horizontal="left" vertical="top" wrapText="1"/>
    </xf>
    <xf numFmtId="0" fontId="13" fillId="7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5" fillId="2" borderId="1" xfId="0" applyFont="1" applyFill="1" applyBorder="1" applyAlignment="1">
      <alignment horizontal="left" vertical="top" wrapText="1"/>
    </xf>
    <xf numFmtId="0" fontId="31" fillId="0" borderId="1" xfId="0" applyFont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169" fontId="12" fillId="7" borderId="1" xfId="1" applyNumberFormat="1" applyFont="1" applyFill="1" applyBorder="1" applyAlignment="1">
      <alignment horizontal="right" vertical="center" shrinkToFit="1"/>
    </xf>
    <xf numFmtId="0" fontId="14" fillId="2" borderId="1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left" vertical="center" wrapText="1"/>
    </xf>
    <xf numFmtId="0" fontId="13" fillId="7" borderId="11" xfId="0" applyFont="1" applyFill="1" applyBorder="1" applyAlignment="1">
      <alignment horizontal="left" vertical="center" wrapText="1"/>
    </xf>
    <xf numFmtId="0" fontId="13" fillId="7" borderId="16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wrapText="1"/>
    </xf>
    <xf numFmtId="0" fontId="14" fillId="2" borderId="11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justify" vertical="center" wrapText="1"/>
    </xf>
    <xf numFmtId="0" fontId="14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justify" vertical="center" wrapText="1"/>
    </xf>
    <xf numFmtId="168" fontId="14" fillId="2" borderId="1" xfId="1" applyNumberFormat="1" applyFont="1" applyFill="1" applyBorder="1" applyAlignment="1">
      <alignment horizontal="right" vertical="center" shrinkToFit="1"/>
    </xf>
    <xf numFmtId="165" fontId="16" fillId="6" borderId="1" xfId="1" applyFont="1" applyFill="1" applyBorder="1" applyAlignment="1">
      <alignment horizontal="right" vertical="center" shrinkToFit="1"/>
    </xf>
    <xf numFmtId="0" fontId="14" fillId="3" borderId="1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right" vertical="center" wrapText="1"/>
    </xf>
    <xf numFmtId="0" fontId="16" fillId="6" borderId="11" xfId="0" applyFont="1" applyFill="1" applyBorder="1" applyAlignment="1">
      <alignment horizontal="right" vertical="center" wrapText="1"/>
    </xf>
    <xf numFmtId="0" fontId="16" fillId="6" borderId="16" xfId="0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44" fontId="14" fillId="2" borderId="1" xfId="1" applyNumberFormat="1" applyFont="1" applyFill="1" applyBorder="1" applyAlignment="1">
      <alignment horizontal="right" vertical="center" shrinkToFit="1"/>
    </xf>
    <xf numFmtId="0" fontId="13" fillId="7" borderId="1" xfId="0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69" fontId="14" fillId="2" borderId="1" xfId="1" applyNumberFormat="1" applyFont="1" applyFill="1" applyBorder="1" applyAlignment="1">
      <alignment horizontal="right" vertical="center" shrinkToFit="1"/>
    </xf>
    <xf numFmtId="44" fontId="16" fillId="6" borderId="1" xfId="1" applyNumberFormat="1" applyFont="1" applyFill="1" applyBorder="1" applyAlignment="1">
      <alignment horizontal="right" vertical="center" shrinkToFit="1"/>
    </xf>
    <xf numFmtId="0" fontId="15" fillId="0" borderId="11" xfId="0" applyFont="1" applyBorder="1" applyAlignment="1">
      <alignment horizontal="left" vertical="center" wrapText="1"/>
    </xf>
    <xf numFmtId="1" fontId="15" fillId="2" borderId="1" xfId="0" applyNumberFormat="1" applyFont="1" applyFill="1" applyBorder="1" applyAlignment="1">
      <alignment horizontal="left" vertical="center" shrinkToFit="1"/>
    </xf>
    <xf numFmtId="0" fontId="5" fillId="0" borderId="3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13" fillId="7" borderId="16" xfId="0" applyFont="1" applyFill="1" applyBorder="1" applyAlignment="1">
      <alignment vertical="center" wrapText="1"/>
    </xf>
    <xf numFmtId="1" fontId="14" fillId="2" borderId="1" xfId="0" applyNumberFormat="1" applyFont="1" applyFill="1" applyBorder="1" applyAlignment="1">
      <alignment horizontal="left" vertical="center" shrinkToFit="1"/>
    </xf>
    <xf numFmtId="166" fontId="14" fillId="2" borderId="1" xfId="0" applyNumberFormat="1" applyFont="1" applyFill="1" applyBorder="1" applyAlignment="1">
      <alignment horizontal="left" vertical="center" shrinkToFit="1"/>
    </xf>
    <xf numFmtId="0" fontId="13" fillId="7" borderId="3" xfId="0" applyFont="1" applyFill="1" applyBorder="1" applyAlignment="1">
      <alignment horizontal="right" vertical="top" wrapText="1"/>
    </xf>
    <xf numFmtId="0" fontId="13" fillId="7" borderId="11" xfId="0" applyFont="1" applyFill="1" applyBorder="1" applyAlignment="1">
      <alignment horizontal="right" vertical="top" wrapText="1"/>
    </xf>
    <xf numFmtId="0" fontId="13" fillId="7" borderId="16" xfId="0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11" xfId="0" applyFont="1" applyFill="1" applyBorder="1" applyAlignment="1">
      <alignment horizontal="center" vertical="top" wrapText="1"/>
    </xf>
    <xf numFmtId="0" fontId="13" fillId="2" borderId="16" xfId="0" applyFont="1" applyFill="1" applyBorder="1" applyAlignment="1">
      <alignment horizontal="center" vertical="top" wrapText="1"/>
    </xf>
    <xf numFmtId="0" fontId="14" fillId="0" borderId="3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14" fillId="0" borderId="16" xfId="0" applyFont="1" applyBorder="1" applyAlignment="1">
      <alignment horizontal="center" wrapText="1"/>
    </xf>
    <xf numFmtId="0" fontId="14" fillId="2" borderId="1" xfId="0" applyFont="1" applyFill="1" applyBorder="1" applyAlignment="1">
      <alignment horizontal="left" vertical="top" wrapText="1"/>
    </xf>
    <xf numFmtId="169" fontId="14" fillId="2" borderId="1" xfId="1" applyNumberFormat="1" applyFont="1" applyFill="1" applyBorder="1" applyAlignment="1">
      <alignment horizontal="right" vertical="center" wrapText="1" shrinkToFit="1"/>
    </xf>
    <xf numFmtId="0" fontId="13" fillId="7" borderId="3" xfId="0" applyFont="1" applyFill="1" applyBorder="1" applyAlignment="1">
      <alignment horizontal="left" vertical="top" wrapText="1"/>
    </xf>
    <xf numFmtId="0" fontId="13" fillId="7" borderId="11" xfId="0" applyFont="1" applyFill="1" applyBorder="1" applyAlignment="1">
      <alignment horizontal="left" vertical="top" wrapText="1"/>
    </xf>
    <xf numFmtId="0" fontId="13" fillId="7" borderId="16" xfId="0" applyFont="1" applyFill="1" applyBorder="1" applyAlignment="1">
      <alignment horizontal="left" vertical="top" wrapText="1"/>
    </xf>
    <xf numFmtId="1" fontId="14" fillId="2" borderId="3" xfId="0" applyNumberFormat="1" applyFont="1" applyFill="1" applyBorder="1" applyAlignment="1">
      <alignment horizontal="left" vertical="center" shrinkToFit="1"/>
    </xf>
    <xf numFmtId="1" fontId="14" fillId="2" borderId="16" xfId="0" applyNumberFormat="1" applyFont="1" applyFill="1" applyBorder="1" applyAlignment="1">
      <alignment horizontal="left" vertical="center" shrinkToFit="1"/>
    </xf>
    <xf numFmtId="169" fontId="13" fillId="2" borderId="1" xfId="1" applyNumberFormat="1" applyFont="1" applyFill="1" applyBorder="1" applyAlignment="1">
      <alignment horizontal="left" vertical="center" shrinkToFit="1"/>
    </xf>
    <xf numFmtId="49" fontId="15" fillId="2" borderId="1" xfId="0" applyNumberFormat="1" applyFont="1" applyFill="1" applyBorder="1" applyAlignment="1">
      <alignment horizontal="left" vertical="center" shrinkToFit="1"/>
    </xf>
    <xf numFmtId="0" fontId="15" fillId="2" borderId="3" xfId="0" applyFont="1" applyFill="1" applyBorder="1" applyAlignment="1">
      <alignment vertical="center" wrapText="1"/>
    </xf>
    <xf numFmtId="0" fontId="15" fillId="2" borderId="16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11" xfId="0" applyFont="1" applyFill="1" applyBorder="1" applyAlignment="1">
      <alignment vertical="center" wrapText="1"/>
    </xf>
    <xf numFmtId="0" fontId="14" fillId="2" borderId="16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left" vertical="top" wrapText="1"/>
    </xf>
    <xf numFmtId="0" fontId="16" fillId="6" borderId="1" xfId="0" applyFont="1" applyFill="1" applyBorder="1" applyAlignment="1">
      <alignment horizontal="right" vertical="center" wrapText="1"/>
    </xf>
    <xf numFmtId="0" fontId="14" fillId="0" borderId="3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169" fontId="14" fillId="2" borderId="1" xfId="1" applyNumberFormat="1" applyFont="1" applyFill="1" applyBorder="1" applyAlignment="1">
      <alignment horizontal="right" vertical="top" shrinkToFit="1"/>
    </xf>
    <xf numFmtId="0" fontId="13" fillId="7" borderId="1" xfId="0" applyFont="1" applyFill="1" applyBorder="1" applyAlignment="1">
      <alignment horizontal="center" vertical="top" wrapText="1"/>
    </xf>
    <xf numFmtId="0" fontId="13" fillId="7" borderId="3" xfId="0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169" fontId="16" fillId="6" borderId="1" xfId="1" applyNumberFormat="1" applyFont="1" applyFill="1" applyBorder="1" applyAlignment="1">
      <alignment horizontal="right" vertical="top" shrinkToFit="1"/>
    </xf>
    <xf numFmtId="0" fontId="14" fillId="0" borderId="4" xfId="0" applyFont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4" fillId="0" borderId="16" xfId="0" applyFont="1" applyBorder="1" applyAlignment="1">
      <alignment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justify" vertical="center" wrapText="1"/>
    </xf>
    <xf numFmtId="0" fontId="13" fillId="7" borderId="11" xfId="0" applyFont="1" applyFill="1" applyBorder="1" applyAlignment="1">
      <alignment horizontal="justify" vertical="center" wrapText="1"/>
    </xf>
    <xf numFmtId="0" fontId="13" fillId="7" borderId="16" xfId="0" applyFont="1" applyFill="1" applyBorder="1" applyAlignment="1">
      <alignment horizontal="justify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164" fontId="13" fillId="2" borderId="1" xfId="1" applyNumberFormat="1" applyFont="1" applyFill="1" applyBorder="1" applyAlignment="1">
      <alignment horizontal="left" vertical="center" wrapText="1"/>
    </xf>
    <xf numFmtId="165" fontId="13" fillId="2" borderId="1" xfId="1" applyFont="1" applyFill="1" applyBorder="1" applyAlignment="1">
      <alignment horizontal="left" vertical="center" wrapText="1"/>
    </xf>
    <xf numFmtId="168" fontId="16" fillId="6" borderId="1" xfId="1" applyNumberFormat="1" applyFont="1" applyFill="1" applyBorder="1" applyAlignment="1">
      <alignment horizontal="right" vertical="center" shrinkToFit="1"/>
    </xf>
    <xf numFmtId="0" fontId="14" fillId="2" borderId="11" xfId="0" applyFont="1" applyFill="1" applyBorder="1" applyAlignment="1">
      <alignment horizontal="center" vertical="center"/>
    </xf>
    <xf numFmtId="165" fontId="16" fillId="6" borderId="1" xfId="1" applyFont="1" applyFill="1" applyBorder="1" applyAlignment="1">
      <alignment horizontal="right" vertical="top" shrinkToFit="1"/>
    </xf>
    <xf numFmtId="0" fontId="5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wrapText="1"/>
    </xf>
    <xf numFmtId="0" fontId="14" fillId="2" borderId="11" xfId="0" applyFont="1" applyFill="1" applyBorder="1" applyAlignment="1">
      <alignment horizontal="left" wrapText="1"/>
    </xf>
    <xf numFmtId="0" fontId="13" fillId="7" borderId="1" xfId="0" applyFont="1" applyFill="1" applyBorder="1" applyAlignment="1">
      <alignment horizontal="left" vertical="top" wrapText="1"/>
    </xf>
    <xf numFmtId="0" fontId="14" fillId="2" borderId="16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top" wrapText="1"/>
    </xf>
    <xf numFmtId="0" fontId="14" fillId="2" borderId="11" xfId="0" applyFont="1" applyFill="1" applyBorder="1" applyAlignment="1">
      <alignment vertical="top" wrapText="1"/>
    </xf>
    <xf numFmtId="0" fontId="14" fillId="2" borderId="16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16" xfId="0" applyFont="1" applyFill="1" applyBorder="1" applyAlignment="1">
      <alignment horizontal="left" vertical="top" wrapText="1"/>
    </xf>
    <xf numFmtId="0" fontId="16" fillId="6" borderId="3" xfId="0" applyFont="1" applyFill="1" applyBorder="1" applyAlignment="1">
      <alignment horizontal="right" vertical="center"/>
    </xf>
    <xf numFmtId="0" fontId="16" fillId="6" borderId="11" xfId="0" applyFont="1" applyFill="1" applyBorder="1" applyAlignment="1">
      <alignment horizontal="right" vertical="center"/>
    </xf>
    <xf numFmtId="0" fontId="16" fillId="6" borderId="16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/>
    </xf>
    <xf numFmtId="0" fontId="16" fillId="6" borderId="17" xfId="0" applyFont="1" applyFill="1" applyBorder="1" applyAlignment="1">
      <alignment horizontal="center" vertical="center"/>
    </xf>
    <xf numFmtId="0" fontId="16" fillId="6" borderId="18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6" fillId="6" borderId="19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4" fontId="6" fillId="7" borderId="12" xfId="0" applyNumberFormat="1" applyFont="1" applyFill="1" applyBorder="1" applyAlignment="1">
      <alignment horizontal="center" vertical="center" wrapText="1"/>
    </xf>
    <xf numFmtId="4" fontId="6" fillId="7" borderId="18" xfId="0" applyNumberFormat="1" applyFont="1" applyFill="1" applyBorder="1" applyAlignment="1">
      <alignment horizontal="center" vertical="center" wrapText="1"/>
    </xf>
    <xf numFmtId="4" fontId="6" fillId="7" borderId="10" xfId="0" applyNumberFormat="1" applyFont="1" applyFill="1" applyBorder="1" applyAlignment="1">
      <alignment horizontal="center" vertical="center" wrapText="1"/>
    </xf>
    <xf numFmtId="4" fontId="6" fillId="7" borderId="19" xfId="0" applyNumberFormat="1" applyFont="1" applyFill="1" applyBorder="1" applyAlignment="1">
      <alignment horizontal="center" vertical="center" wrapText="1"/>
    </xf>
    <xf numFmtId="168" fontId="13" fillId="5" borderId="3" xfId="0" applyNumberFormat="1" applyFont="1" applyFill="1" applyBorder="1" applyAlignment="1">
      <alignment horizontal="center" vertical="center" wrapText="1"/>
    </xf>
    <xf numFmtId="168" fontId="13" fillId="5" borderId="11" xfId="0" applyNumberFormat="1" applyFont="1" applyFill="1" applyBorder="1" applyAlignment="1">
      <alignment horizontal="center" vertical="center" wrapText="1"/>
    </xf>
    <xf numFmtId="168" fontId="13" fillId="5" borderId="16" xfId="0" applyNumberFormat="1" applyFont="1" applyFill="1" applyBorder="1" applyAlignment="1">
      <alignment horizontal="center" vertical="center" wrapText="1"/>
    </xf>
    <xf numFmtId="168" fontId="13" fillId="5" borderId="1" xfId="0" applyNumberFormat="1" applyFont="1" applyFill="1" applyBorder="1" applyAlignment="1">
      <alignment horizontal="center" vertical="center" wrapText="1"/>
    </xf>
    <xf numFmtId="168" fontId="20" fillId="7" borderId="1" xfId="0" applyNumberFormat="1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right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165" fontId="6" fillId="7" borderId="1" xfId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right" vertical="center"/>
    </xf>
    <xf numFmtId="0" fontId="13" fillId="8" borderId="3" xfId="0" applyFont="1" applyFill="1" applyBorder="1" applyAlignment="1">
      <alignment horizontal="center" vertical="center" wrapText="1"/>
    </xf>
    <xf numFmtId="0" fontId="13" fillId="8" borderId="11" xfId="0" applyFont="1" applyFill="1" applyBorder="1" applyAlignment="1">
      <alignment horizontal="center"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27" fillId="10" borderId="3" xfId="0" applyFont="1" applyFill="1" applyBorder="1" applyAlignment="1">
      <alignment horizontal="center" vertical="center" wrapText="1"/>
    </xf>
    <xf numFmtId="0" fontId="27" fillId="10" borderId="11" xfId="0" applyFont="1" applyFill="1" applyBorder="1" applyAlignment="1">
      <alignment horizontal="center" vertical="center" wrapText="1"/>
    </xf>
    <xf numFmtId="0" fontId="27" fillId="10" borderId="16" xfId="0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right" vertical="center" wrapText="1"/>
    </xf>
    <xf numFmtId="0" fontId="16" fillId="9" borderId="11" xfId="0" applyFont="1" applyFill="1" applyBorder="1" applyAlignment="1">
      <alignment horizontal="right" vertical="center" wrapText="1"/>
    </xf>
    <xf numFmtId="0" fontId="16" fillId="9" borderId="16" xfId="0" applyFont="1" applyFill="1" applyBorder="1" applyAlignment="1">
      <alignment horizontal="right" vertical="center" wrapText="1"/>
    </xf>
    <xf numFmtId="0" fontId="13" fillId="10" borderId="3" xfId="0" applyFont="1" applyFill="1" applyBorder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0" fontId="13" fillId="10" borderId="16" xfId="0" applyFont="1" applyFill="1" applyBorder="1" applyAlignment="1">
      <alignment horizontal="center" vertical="center" wrapText="1"/>
    </xf>
    <xf numFmtId="165" fontId="15" fillId="10" borderId="3" xfId="1" applyFont="1" applyFill="1" applyBorder="1" applyAlignment="1">
      <alignment horizontal="center" vertical="center" shrinkToFit="1"/>
    </xf>
    <xf numFmtId="165" fontId="15" fillId="10" borderId="11" xfId="1" applyFont="1" applyFill="1" applyBorder="1" applyAlignment="1">
      <alignment horizontal="center" vertical="center" shrinkToFit="1"/>
    </xf>
    <xf numFmtId="165" fontId="15" fillId="10" borderId="16" xfId="1" applyFont="1" applyFill="1" applyBorder="1" applyAlignment="1">
      <alignment horizontal="center" vertical="center" shrinkToFit="1"/>
    </xf>
    <xf numFmtId="0" fontId="13" fillId="10" borderId="3" xfId="0" applyFont="1" applyFill="1" applyBorder="1" applyAlignment="1">
      <alignment horizontal="center" vertical="center"/>
    </xf>
    <xf numFmtId="0" fontId="13" fillId="10" borderId="11" xfId="0" applyFont="1" applyFill="1" applyBorder="1" applyAlignment="1">
      <alignment horizontal="center" vertical="center"/>
    </xf>
    <xf numFmtId="0" fontId="13" fillId="10" borderId="16" xfId="0" applyFont="1" applyFill="1" applyBorder="1" applyAlignment="1">
      <alignment horizontal="center" vertical="center"/>
    </xf>
    <xf numFmtId="0" fontId="28" fillId="9" borderId="0" xfId="0" applyFont="1" applyFill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28" fillId="9" borderId="13" xfId="0" applyFont="1" applyFill="1" applyBorder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 wrapText="1"/>
    </xf>
    <xf numFmtId="0" fontId="28" fillId="9" borderId="14" xfId="0" applyFont="1" applyFill="1" applyBorder="1" applyAlignment="1">
      <alignment horizontal="center" vertical="center" wrapText="1"/>
    </xf>
    <xf numFmtId="0" fontId="28" fillId="9" borderId="3" xfId="0" applyFont="1" applyFill="1" applyBorder="1" applyAlignment="1">
      <alignment horizontal="center" vertical="center" wrapText="1"/>
    </xf>
    <xf numFmtId="0" fontId="28" fillId="9" borderId="11" xfId="0" applyFont="1" applyFill="1" applyBorder="1" applyAlignment="1">
      <alignment horizontal="center" vertical="center" wrapText="1"/>
    </xf>
    <xf numFmtId="0" fontId="28" fillId="9" borderId="16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30" fillId="9" borderId="1" xfId="0" applyFont="1" applyFill="1" applyBorder="1" applyAlignment="1">
      <alignment horizontal="right" vertical="center"/>
    </xf>
    <xf numFmtId="0" fontId="30" fillId="9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30" fillId="9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3" borderId="1" xfId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E5FFFF"/>
      <color rgb="FFFFFFCC"/>
      <color rgb="FF0000FF"/>
      <color rgb="FFCCFFFF"/>
      <color rgb="FFD9FFFF"/>
      <color rgb="FFA3FFFF"/>
      <color rgb="FFFFFF99"/>
      <color rgb="FF008DF6"/>
      <color rgb="FFCCECFF"/>
      <color rgb="FF0077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6715" y="31828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6</xdr:row>
      <xdr:rowOff>77724</xdr:rowOff>
    </xdr:from>
    <xdr:ext cx="32384" cy="5080"/>
    <xdr:sp macro="" textlink="">
      <xdr:nvSpPr>
        <xdr:cNvPr id="3" name="Shape 2">
          <a:extLst>
            <a:ext uri="{FF2B5EF4-FFF2-40B4-BE49-F238E27FC236}">
              <a16:creationId xmlns:a16="http://schemas.microsoft.com/office/drawing/2014/main" id="{5AB56CD5-F4F2-4A8E-AA89-1F93F04C511F}"/>
            </a:ext>
          </a:extLst>
        </xdr:cNvPr>
        <xdr:cNvSpPr/>
      </xdr:nvSpPr>
      <xdr:spPr>
        <a:xfrm>
          <a:off x="390797" y="2037153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7</xdr:row>
      <xdr:rowOff>77724</xdr:rowOff>
    </xdr:from>
    <xdr:ext cx="32384" cy="5080"/>
    <xdr:sp macro="" textlink="">
      <xdr:nvSpPr>
        <xdr:cNvPr id="4" name="Shape 2">
          <a:extLst>
            <a:ext uri="{FF2B5EF4-FFF2-40B4-BE49-F238E27FC236}">
              <a16:creationId xmlns:a16="http://schemas.microsoft.com/office/drawing/2014/main" id="{2036CFC1-DA9D-4F45-B181-C7F4C45ACC6B}"/>
            </a:ext>
          </a:extLst>
        </xdr:cNvPr>
        <xdr:cNvSpPr/>
      </xdr:nvSpPr>
      <xdr:spPr>
        <a:xfrm>
          <a:off x="390797" y="2037153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8</xdr:row>
      <xdr:rowOff>0</xdr:rowOff>
    </xdr:from>
    <xdr:ext cx="32384" cy="5080"/>
    <xdr:sp macro="" textlink="">
      <xdr:nvSpPr>
        <xdr:cNvPr id="5" name="Shape 2">
          <a:extLst>
            <a:ext uri="{FF2B5EF4-FFF2-40B4-BE49-F238E27FC236}">
              <a16:creationId xmlns:a16="http://schemas.microsoft.com/office/drawing/2014/main" id="{EC2CC141-6B08-40A7-B787-AC3597E267CA}"/>
            </a:ext>
          </a:extLst>
        </xdr:cNvPr>
        <xdr:cNvSpPr/>
      </xdr:nvSpPr>
      <xdr:spPr>
        <a:xfrm>
          <a:off x="390797" y="2037153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6715" y="31828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3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6715" y="31828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4" name="Shape 2">
          <a:extLst>
            <a:ext uri="{FF2B5EF4-FFF2-40B4-BE49-F238E27FC236}">
              <a16:creationId xmlns:a16="http://schemas.microsoft.com/office/drawing/2014/main" id="{8F3BEF5F-6D8D-4120-AE7B-4F2C95B0AEA1}"/>
            </a:ext>
          </a:extLst>
        </xdr:cNvPr>
        <xdr:cNvSpPr/>
      </xdr:nvSpPr>
      <xdr:spPr>
        <a:xfrm>
          <a:off x="386715" y="148742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5" name="Shape 2">
          <a:extLst>
            <a:ext uri="{FF2B5EF4-FFF2-40B4-BE49-F238E27FC236}">
              <a16:creationId xmlns:a16="http://schemas.microsoft.com/office/drawing/2014/main" id="{80F584EE-3EE8-4B98-98F3-589FE30116A8}"/>
            </a:ext>
          </a:extLst>
        </xdr:cNvPr>
        <xdr:cNvSpPr/>
      </xdr:nvSpPr>
      <xdr:spPr>
        <a:xfrm>
          <a:off x="386715" y="148742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6" name="Shape 2">
          <a:extLst>
            <a:ext uri="{FF2B5EF4-FFF2-40B4-BE49-F238E27FC236}">
              <a16:creationId xmlns:a16="http://schemas.microsoft.com/office/drawing/2014/main" id="{55014BA7-E7CA-45ED-96F6-56662BC05CAE}"/>
            </a:ext>
          </a:extLst>
        </xdr:cNvPr>
        <xdr:cNvSpPr/>
      </xdr:nvSpPr>
      <xdr:spPr>
        <a:xfrm>
          <a:off x="386715" y="148742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7" name="Shape 2">
          <a:extLst>
            <a:ext uri="{FF2B5EF4-FFF2-40B4-BE49-F238E27FC236}">
              <a16:creationId xmlns:a16="http://schemas.microsoft.com/office/drawing/2014/main" id="{43B34789-D7C7-4964-97A9-2B29F3037D58}"/>
            </a:ext>
          </a:extLst>
        </xdr:cNvPr>
        <xdr:cNvSpPr/>
      </xdr:nvSpPr>
      <xdr:spPr>
        <a:xfrm>
          <a:off x="386715" y="148742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6</xdr:row>
      <xdr:rowOff>77724</xdr:rowOff>
    </xdr:from>
    <xdr:ext cx="32384" cy="5080"/>
    <xdr:sp macro="" textlink="">
      <xdr:nvSpPr>
        <xdr:cNvPr id="8" name="Shape 2">
          <a:extLst>
            <a:ext uri="{FF2B5EF4-FFF2-40B4-BE49-F238E27FC236}">
              <a16:creationId xmlns:a16="http://schemas.microsoft.com/office/drawing/2014/main" id="{D75E96DE-9F4C-4C7B-9236-456C0CE2F2A9}"/>
            </a:ext>
          </a:extLst>
        </xdr:cNvPr>
        <xdr:cNvSpPr/>
      </xdr:nvSpPr>
      <xdr:spPr>
        <a:xfrm>
          <a:off x="386715" y="1687449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7</xdr:row>
      <xdr:rowOff>77724</xdr:rowOff>
    </xdr:from>
    <xdr:ext cx="32384" cy="5080"/>
    <xdr:sp macro="" textlink="">
      <xdr:nvSpPr>
        <xdr:cNvPr id="9" name="Shape 2">
          <a:extLst>
            <a:ext uri="{FF2B5EF4-FFF2-40B4-BE49-F238E27FC236}">
              <a16:creationId xmlns:a16="http://schemas.microsoft.com/office/drawing/2014/main" id="{F87CB456-0095-4511-B690-31D661D22026}"/>
            </a:ext>
          </a:extLst>
        </xdr:cNvPr>
        <xdr:cNvSpPr/>
      </xdr:nvSpPr>
      <xdr:spPr>
        <a:xfrm>
          <a:off x="386715" y="18874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6715" y="31828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3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6715" y="31828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4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6715" y="31828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5" name="Shape 2">
          <a:extLst>
            <a:ext uri="{FF2B5EF4-FFF2-40B4-BE49-F238E27FC236}">
              <a16:creationId xmlns:a16="http://schemas.microsoft.com/office/drawing/2014/main" id="{166B4201-314A-4E0B-8427-1D52EE074D37}"/>
            </a:ext>
          </a:extLst>
        </xdr:cNvPr>
        <xdr:cNvSpPr/>
      </xdr:nvSpPr>
      <xdr:spPr>
        <a:xfrm>
          <a:off x="834390" y="1535049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6</xdr:row>
      <xdr:rowOff>77724</xdr:rowOff>
    </xdr:from>
    <xdr:ext cx="32384" cy="5080"/>
    <xdr:sp macro="" textlink="">
      <xdr:nvSpPr>
        <xdr:cNvPr id="6" name="Shape 2">
          <a:extLst>
            <a:ext uri="{FF2B5EF4-FFF2-40B4-BE49-F238E27FC236}">
              <a16:creationId xmlns:a16="http://schemas.microsoft.com/office/drawing/2014/main" id="{5687FEB4-83FD-4BA4-B28A-4B659055560D}"/>
            </a:ext>
          </a:extLst>
        </xdr:cNvPr>
        <xdr:cNvSpPr/>
      </xdr:nvSpPr>
      <xdr:spPr>
        <a:xfrm>
          <a:off x="834390" y="17350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7</xdr:row>
      <xdr:rowOff>77724</xdr:rowOff>
    </xdr:from>
    <xdr:ext cx="32384" cy="5080"/>
    <xdr:sp macro="" textlink="">
      <xdr:nvSpPr>
        <xdr:cNvPr id="7" name="Shape 2">
          <a:extLst>
            <a:ext uri="{FF2B5EF4-FFF2-40B4-BE49-F238E27FC236}">
              <a16:creationId xmlns:a16="http://schemas.microsoft.com/office/drawing/2014/main" id="{A9C83757-CA81-4227-A9BA-9D5276B8E116}"/>
            </a:ext>
          </a:extLst>
        </xdr:cNvPr>
        <xdr:cNvSpPr/>
      </xdr:nvSpPr>
      <xdr:spPr>
        <a:xfrm>
          <a:off x="834390" y="1935099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6715" y="31828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3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6715" y="31828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4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6715" y="31828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5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6715" y="31828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5</xdr:row>
      <xdr:rowOff>77724</xdr:rowOff>
    </xdr:from>
    <xdr:ext cx="32384" cy="5080"/>
    <xdr:sp macro="" textlink="">
      <xdr:nvSpPr>
        <xdr:cNvPr id="6" name="Shape 2">
          <a:extLst>
            <a:ext uri="{FF2B5EF4-FFF2-40B4-BE49-F238E27FC236}">
              <a16:creationId xmlns:a16="http://schemas.microsoft.com/office/drawing/2014/main" id="{62BEF5D7-899F-4456-A2B4-A2035B6D0DF0}"/>
            </a:ext>
          </a:extLst>
        </xdr:cNvPr>
        <xdr:cNvSpPr/>
      </xdr:nvSpPr>
      <xdr:spPr>
        <a:xfrm>
          <a:off x="834390" y="1535049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6</xdr:row>
      <xdr:rowOff>77724</xdr:rowOff>
    </xdr:from>
    <xdr:ext cx="32384" cy="5080"/>
    <xdr:sp macro="" textlink="">
      <xdr:nvSpPr>
        <xdr:cNvPr id="7" name="Shape 2">
          <a:extLst>
            <a:ext uri="{FF2B5EF4-FFF2-40B4-BE49-F238E27FC236}">
              <a16:creationId xmlns:a16="http://schemas.microsoft.com/office/drawing/2014/main" id="{3C483715-B8A1-4CE4-842A-884630A3AEA0}"/>
            </a:ext>
          </a:extLst>
        </xdr:cNvPr>
        <xdr:cNvSpPr/>
      </xdr:nvSpPr>
      <xdr:spPr>
        <a:xfrm>
          <a:off x="834390" y="1735074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91440</xdr:colOff>
      <xdr:row>7</xdr:row>
      <xdr:rowOff>77724</xdr:rowOff>
    </xdr:from>
    <xdr:ext cx="32384" cy="5080"/>
    <xdr:sp macro="" textlink="">
      <xdr:nvSpPr>
        <xdr:cNvPr id="8" name="Shape 2">
          <a:extLst>
            <a:ext uri="{FF2B5EF4-FFF2-40B4-BE49-F238E27FC236}">
              <a16:creationId xmlns:a16="http://schemas.microsoft.com/office/drawing/2014/main" id="{3C347168-4F54-45C2-A9A8-54E9F7D47810}"/>
            </a:ext>
          </a:extLst>
        </xdr:cNvPr>
        <xdr:cNvSpPr/>
      </xdr:nvSpPr>
      <xdr:spPr>
        <a:xfrm>
          <a:off x="834390" y="1935099"/>
          <a:ext cx="32384" cy="5080"/>
        </a:xfrm>
        <a:custGeom>
          <a:avLst/>
          <a:gdLst/>
          <a:ahLst/>
          <a:cxnLst/>
          <a:rect l="0" t="0" r="0" b="0"/>
          <a:pathLst>
            <a:path w="32384" h="5080">
              <a:moveTo>
                <a:pt x="32003" y="0"/>
              </a:moveTo>
              <a:lnTo>
                <a:pt x="0" y="0"/>
              </a:lnTo>
              <a:lnTo>
                <a:pt x="0" y="4571"/>
              </a:lnTo>
              <a:lnTo>
                <a:pt x="32003" y="4571"/>
              </a:lnTo>
              <a:lnTo>
                <a:pt x="32003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H39"/>
  <sheetViews>
    <sheetView topLeftCell="A10" zoomScale="110" zoomScaleNormal="110" zoomScaleSheetLayoutView="100" workbookViewId="0">
      <selection activeCell="A25" sqref="A25:C25"/>
    </sheetView>
  </sheetViews>
  <sheetFormatPr defaultRowHeight="15.75" x14ac:dyDescent="0.2"/>
  <cols>
    <col min="1" max="1" width="5" style="88" customWidth="1"/>
    <col min="2" max="2" width="55.5" style="22" customWidth="1"/>
    <col min="3" max="3" width="16.83203125" style="22" customWidth="1"/>
    <col min="4" max="4" width="19" style="22" customWidth="1"/>
    <col min="5" max="5" width="22.1640625" style="22" bestFit="1" customWidth="1"/>
    <col min="6" max="7" width="9.33203125" style="22"/>
    <col min="8" max="8" width="17.1640625" style="22" bestFit="1" customWidth="1"/>
    <col min="9" max="16384" width="9.33203125" style="22"/>
  </cols>
  <sheetData>
    <row r="1" spans="1:8" ht="28.5" customHeight="1" x14ac:dyDescent="0.2">
      <c r="A1" s="178" t="s">
        <v>471</v>
      </c>
      <c r="B1" s="178"/>
      <c r="C1" s="178"/>
      <c r="D1" s="178"/>
      <c r="E1" s="178"/>
    </row>
    <row r="2" spans="1:8" ht="22.5" customHeight="1" x14ac:dyDescent="0.2">
      <c r="A2" s="185" t="s">
        <v>61</v>
      </c>
      <c r="B2" s="185"/>
      <c r="C2" s="185"/>
      <c r="D2" s="185"/>
      <c r="E2" s="185"/>
    </row>
    <row r="3" spans="1:8" ht="47.25" x14ac:dyDescent="0.2">
      <c r="A3" s="178" t="s">
        <v>10</v>
      </c>
      <c r="B3" s="178"/>
      <c r="C3" s="34" t="s">
        <v>62</v>
      </c>
      <c r="D3" s="34" t="s">
        <v>63</v>
      </c>
      <c r="E3" s="34" t="s">
        <v>64</v>
      </c>
    </row>
    <row r="4" spans="1:8" x14ac:dyDescent="0.2">
      <c r="A4" s="178" t="s">
        <v>65</v>
      </c>
      <c r="B4" s="178"/>
      <c r="C4" s="34" t="s">
        <v>66</v>
      </c>
      <c r="D4" s="34" t="s">
        <v>67</v>
      </c>
      <c r="E4" s="34" t="s">
        <v>68</v>
      </c>
    </row>
    <row r="5" spans="1:8" ht="14.25" customHeight="1" x14ac:dyDescent="0.2">
      <c r="A5" s="25" t="s">
        <v>69</v>
      </c>
      <c r="B5" s="24" t="s">
        <v>464</v>
      </c>
      <c r="C5" s="26">
        <v>1</v>
      </c>
      <c r="D5" s="79">
        <f>'ENCARREGADO(A) GERAL'!E110</f>
        <v>10807.513396731887</v>
      </c>
      <c r="E5" s="80">
        <f>D5*C5</f>
        <v>10807.513396731887</v>
      </c>
    </row>
    <row r="6" spans="1:8" x14ac:dyDescent="0.2">
      <c r="A6" s="25" t="s">
        <v>70</v>
      </c>
      <c r="B6" s="24" t="s">
        <v>60</v>
      </c>
      <c r="C6" s="26">
        <v>1</v>
      </c>
      <c r="D6" s="79">
        <f>'TEC. DE SEGURANÇA '!E110</f>
        <v>9121.4303464890072</v>
      </c>
      <c r="E6" s="80">
        <f>D6*C6</f>
        <v>9121.4303464890072</v>
      </c>
    </row>
    <row r="7" spans="1:8" x14ac:dyDescent="0.2">
      <c r="A7" s="25" t="s">
        <v>481</v>
      </c>
      <c r="B7" s="24" t="s">
        <v>469</v>
      </c>
      <c r="C7" s="26">
        <v>6</v>
      </c>
      <c r="D7" s="79">
        <f>'TÉC. EM REFRIGERAÇÃO E AR'!E110</f>
        <v>9209.6965208912061</v>
      </c>
      <c r="E7" s="80">
        <f>D7*C7 -0.01</f>
        <v>55258.169125347231</v>
      </c>
    </row>
    <row r="8" spans="1:8" x14ac:dyDescent="0.2">
      <c r="A8" s="25" t="s">
        <v>71</v>
      </c>
      <c r="B8" s="24" t="s">
        <v>273</v>
      </c>
      <c r="C8" s="26">
        <v>6</v>
      </c>
      <c r="D8" s="79">
        <f>'AJUDANTE GERAL DE MANUTENÇÃO'!E110</f>
        <v>5390.8003004767825</v>
      </c>
      <c r="E8" s="80">
        <f>D8*C8 + 0.03</f>
        <v>32344.831802860695</v>
      </c>
    </row>
    <row r="9" spans="1:8" ht="17.25" customHeight="1" x14ac:dyDescent="0.2">
      <c r="A9" s="185" t="s">
        <v>482</v>
      </c>
      <c r="B9" s="185"/>
      <c r="C9" s="185"/>
      <c r="D9" s="185"/>
      <c r="E9" s="92">
        <f>SUM(E5:E8) -0.02</f>
        <v>107531.92467142882</v>
      </c>
    </row>
    <row r="10" spans="1:8" ht="10.5" customHeight="1" x14ac:dyDescent="0.25">
      <c r="A10" s="186"/>
      <c r="B10" s="186"/>
      <c r="C10" s="186"/>
      <c r="D10" s="186"/>
      <c r="E10" s="186"/>
    </row>
    <row r="11" spans="1:8" ht="23.25" customHeight="1" x14ac:dyDescent="0.2">
      <c r="A11" s="178" t="s">
        <v>72</v>
      </c>
      <c r="B11" s="178"/>
      <c r="C11" s="178"/>
      <c r="D11" s="178"/>
      <c r="E11" s="178"/>
    </row>
    <row r="12" spans="1:8" ht="23.25" customHeight="1" x14ac:dyDescent="0.2">
      <c r="A12" s="179" t="s">
        <v>73</v>
      </c>
      <c r="B12" s="180"/>
      <c r="C12" s="180"/>
      <c r="D12" s="181"/>
      <c r="E12" s="91" t="s">
        <v>16</v>
      </c>
      <c r="H12" s="176"/>
    </row>
    <row r="13" spans="1:8" x14ac:dyDescent="0.2">
      <c r="A13" s="81" t="s">
        <v>1</v>
      </c>
      <c r="B13" s="182" t="s">
        <v>74</v>
      </c>
      <c r="C13" s="183"/>
      <c r="D13" s="183"/>
      <c r="E13" s="184"/>
    </row>
    <row r="14" spans="1:8" x14ac:dyDescent="0.2">
      <c r="A14" s="38" t="s">
        <v>75</v>
      </c>
      <c r="B14" s="187" t="s">
        <v>274</v>
      </c>
      <c r="C14" s="187"/>
      <c r="D14" s="187"/>
      <c r="E14" s="90">
        <f>E5</f>
        <v>10807.513396731887</v>
      </c>
    </row>
    <row r="15" spans="1:8" x14ac:dyDescent="0.2">
      <c r="A15" s="38" t="s">
        <v>76</v>
      </c>
      <c r="B15" s="187" t="s">
        <v>60</v>
      </c>
      <c r="C15" s="187"/>
      <c r="D15" s="187"/>
      <c r="E15" s="90">
        <f>E6</f>
        <v>9121.4303464890072</v>
      </c>
    </row>
    <row r="16" spans="1:8" x14ac:dyDescent="0.2">
      <c r="A16" s="38" t="s">
        <v>77</v>
      </c>
      <c r="B16" s="187" t="s">
        <v>469</v>
      </c>
      <c r="C16" s="187"/>
      <c r="D16" s="187"/>
      <c r="E16" s="90">
        <f>E7</f>
        <v>55258.169125347231</v>
      </c>
    </row>
    <row r="17" spans="1:5" x14ac:dyDescent="0.2">
      <c r="A17" s="38" t="s">
        <v>78</v>
      </c>
      <c r="B17" s="187" t="s">
        <v>273</v>
      </c>
      <c r="C17" s="187"/>
      <c r="D17" s="187"/>
      <c r="E17" s="90">
        <f>E8</f>
        <v>32344.831802860695</v>
      </c>
    </row>
    <row r="18" spans="1:5" x14ac:dyDescent="0.2">
      <c r="A18" s="38" t="s">
        <v>3</v>
      </c>
      <c r="B18" s="177" t="s">
        <v>79</v>
      </c>
      <c r="C18" s="177"/>
      <c r="D18" s="177"/>
      <c r="E18" s="90">
        <f>SUM(E14:E17) - 0.02</f>
        <v>107531.92467142882</v>
      </c>
    </row>
    <row r="19" spans="1:5" x14ac:dyDescent="0.2">
      <c r="A19" s="38" t="s">
        <v>6</v>
      </c>
      <c r="B19" s="177" t="s">
        <v>80</v>
      </c>
      <c r="C19" s="177"/>
      <c r="D19" s="177"/>
      <c r="E19" s="92">
        <f>E18*12 + 0.05</f>
        <v>1290383.1460571459</v>
      </c>
    </row>
    <row r="20" spans="1:5" ht="13.5" customHeight="1" x14ac:dyDescent="0.2">
      <c r="A20" s="192"/>
      <c r="B20" s="192"/>
      <c r="C20" s="192"/>
      <c r="D20" s="192"/>
      <c r="E20" s="192"/>
    </row>
    <row r="21" spans="1:5" ht="24" customHeight="1" x14ac:dyDescent="0.2">
      <c r="A21" s="189" t="s">
        <v>81</v>
      </c>
      <c r="B21" s="190"/>
      <c r="C21" s="190"/>
      <c r="D21" s="190"/>
      <c r="E21" s="191"/>
    </row>
    <row r="22" spans="1:5" x14ac:dyDescent="0.2">
      <c r="A22" s="194" t="s">
        <v>73</v>
      </c>
      <c r="B22" s="194"/>
      <c r="C22" s="194"/>
      <c r="D22" s="91" t="s">
        <v>271</v>
      </c>
      <c r="E22" s="91" t="s">
        <v>272</v>
      </c>
    </row>
    <row r="23" spans="1:5" x14ac:dyDescent="0.2">
      <c r="A23" s="193" t="s">
        <v>82</v>
      </c>
      <c r="B23" s="193"/>
      <c r="C23" s="193"/>
      <c r="D23" s="90">
        <f>E18</f>
        <v>107531.92467142882</v>
      </c>
      <c r="E23" s="90">
        <f>D23*12 + 0.05</f>
        <v>1290383.1460571459</v>
      </c>
    </row>
    <row r="24" spans="1:5" x14ac:dyDescent="0.2">
      <c r="A24" s="193" t="s">
        <v>84</v>
      </c>
      <c r="B24" s="193"/>
      <c r="C24" s="193"/>
      <c r="D24" s="90">
        <f>MATERIAIS!AN124+'SERV. ESPECIALIZADOS '!M12</f>
        <v>15703.730001333335</v>
      </c>
      <c r="E24" s="90">
        <f>D24*12</f>
        <v>188444.76001600001</v>
      </c>
    </row>
    <row r="25" spans="1:5" ht="21" customHeight="1" x14ac:dyDescent="0.2">
      <c r="A25" s="178" t="s">
        <v>83</v>
      </c>
      <c r="B25" s="178"/>
      <c r="C25" s="178"/>
      <c r="D25" s="59">
        <f>SUM(D23:D24)+0.01</f>
        <v>123235.66467276214</v>
      </c>
      <c r="E25" s="59">
        <f>D25*12 - 0.06</f>
        <v>1478827.9160731456</v>
      </c>
    </row>
    <row r="26" spans="1:5" ht="23.25" customHeight="1" x14ac:dyDescent="0.2">
      <c r="A26" s="188" t="s">
        <v>546</v>
      </c>
      <c r="B26" s="188"/>
      <c r="C26" s="188"/>
      <c r="D26" s="188"/>
      <c r="E26" s="175">
        <f>36*D25</f>
        <v>4436483.9282194367</v>
      </c>
    </row>
    <row r="27" spans="1:5" ht="15.75" customHeight="1" x14ac:dyDescent="0.2">
      <c r="A27" s="82"/>
      <c r="C27" s="84"/>
      <c r="D27" s="85"/>
      <c r="E27" s="85"/>
    </row>
    <row r="28" spans="1:5" ht="13.5" customHeight="1" x14ac:dyDescent="0.2">
      <c r="A28" s="82"/>
      <c r="C28" s="84"/>
      <c r="D28" s="85"/>
      <c r="E28" s="85"/>
    </row>
    <row r="29" spans="1:5" ht="22.5" customHeight="1" x14ac:dyDescent="0.2">
      <c r="A29" s="82"/>
      <c r="C29" s="86"/>
      <c r="D29" s="85"/>
      <c r="E29" s="85"/>
    </row>
    <row r="30" spans="1:5" ht="15.75" customHeight="1" x14ac:dyDescent="0.2">
      <c r="A30" s="82"/>
      <c r="C30" s="86"/>
      <c r="D30" s="85"/>
      <c r="E30" s="85"/>
    </row>
    <row r="31" spans="1:5" ht="15.75" customHeight="1" x14ac:dyDescent="0.2">
      <c r="A31" s="87"/>
      <c r="C31" s="86"/>
      <c r="D31" s="85"/>
      <c r="E31" s="85"/>
    </row>
    <row r="32" spans="1:5" ht="15" customHeight="1" x14ac:dyDescent="0.2">
      <c r="A32" s="87"/>
      <c r="C32" s="86"/>
      <c r="D32" s="85"/>
      <c r="E32" s="85"/>
    </row>
    <row r="33" spans="1:5" ht="14.25" customHeight="1" x14ac:dyDescent="0.2">
      <c r="A33" s="84"/>
      <c r="C33" s="86"/>
      <c r="D33" s="85"/>
      <c r="E33" s="85"/>
    </row>
    <row r="34" spans="1:5" ht="14.25" customHeight="1" x14ac:dyDescent="0.2">
      <c r="D34" s="89"/>
      <c r="E34" s="89"/>
    </row>
    <row r="35" spans="1:5" x14ac:dyDescent="0.2">
      <c r="E35" s="83"/>
    </row>
    <row r="36" spans="1:5" x14ac:dyDescent="0.2">
      <c r="E36" s="83"/>
    </row>
    <row r="37" spans="1:5" x14ac:dyDescent="0.2">
      <c r="E37" s="83"/>
    </row>
    <row r="38" spans="1:5" x14ac:dyDescent="0.2">
      <c r="E38" s="83"/>
    </row>
    <row r="39" spans="1:5" x14ac:dyDescent="0.2">
      <c r="E39" s="83"/>
    </row>
  </sheetData>
  <mergeCells count="22">
    <mergeCell ref="A26:D26"/>
    <mergeCell ref="A21:E21"/>
    <mergeCell ref="A20:E20"/>
    <mergeCell ref="A24:C24"/>
    <mergeCell ref="A25:C25"/>
    <mergeCell ref="A22:C22"/>
    <mergeCell ref="A23:C23"/>
    <mergeCell ref="B19:D19"/>
    <mergeCell ref="A1:E1"/>
    <mergeCell ref="A12:D12"/>
    <mergeCell ref="B13:E13"/>
    <mergeCell ref="A2:E2"/>
    <mergeCell ref="A10:E10"/>
    <mergeCell ref="A11:E11"/>
    <mergeCell ref="A3:B3"/>
    <mergeCell ref="A4:B4"/>
    <mergeCell ref="A9:D9"/>
    <mergeCell ref="B14:D14"/>
    <mergeCell ref="B18:D18"/>
    <mergeCell ref="B15:D15"/>
    <mergeCell ref="B17:D17"/>
    <mergeCell ref="B16:D16"/>
  </mergeCells>
  <printOptions horizontalCentered="1"/>
  <pageMargins left="0.31496062992125984" right="0.31496062992125984" top="1.3779527559055118" bottom="0.59055118110236227" header="0.31496062992125984" footer="0.31496062992125984"/>
  <pageSetup paperSize="9" scale="74" orientation="portrait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M12"/>
  <sheetViews>
    <sheetView zoomScaleNormal="100" zoomScaleSheetLayoutView="100" workbookViewId="0">
      <selection activeCell="M12" sqref="M12"/>
    </sheetView>
  </sheetViews>
  <sheetFormatPr defaultRowHeight="15.75" x14ac:dyDescent="0.25"/>
  <cols>
    <col min="1" max="1" width="5.83203125" style="162" customWidth="1"/>
    <col min="2" max="2" width="74.5" style="162" customWidth="1"/>
    <col min="3" max="4" width="16.33203125" style="162" customWidth="1"/>
    <col min="5" max="5" width="8.33203125" style="162" bestFit="1" customWidth="1"/>
    <col min="6" max="6" width="29.83203125" style="162" customWidth="1"/>
    <col min="7" max="7" width="29.33203125" style="162" customWidth="1"/>
    <col min="8" max="8" width="28.33203125" style="162" customWidth="1"/>
    <col min="9" max="10" width="17.6640625" style="162" customWidth="1"/>
    <col min="11" max="11" width="18" style="162" customWidth="1"/>
    <col min="12" max="12" width="16.6640625" style="162" customWidth="1"/>
    <col min="13" max="13" width="20.83203125" style="171" customWidth="1"/>
    <col min="14" max="16384" width="9.33203125" style="162"/>
  </cols>
  <sheetData>
    <row r="1" spans="1:13" x14ac:dyDescent="0.25">
      <c r="A1" s="378" t="s">
        <v>254</v>
      </c>
      <c r="B1" s="378"/>
      <c r="C1" s="378"/>
      <c r="D1" s="378"/>
      <c r="E1" s="378"/>
      <c r="F1" s="372" t="s">
        <v>307</v>
      </c>
      <c r="G1" s="373"/>
      <c r="H1" s="373"/>
      <c r="I1" s="373"/>
      <c r="J1" s="373"/>
      <c r="K1" s="373"/>
      <c r="L1" s="379" t="s">
        <v>270</v>
      </c>
      <c r="M1" s="379"/>
    </row>
    <row r="2" spans="1:13" x14ac:dyDescent="0.25">
      <c r="A2" s="378"/>
      <c r="B2" s="378"/>
      <c r="C2" s="378"/>
      <c r="D2" s="378"/>
      <c r="E2" s="378"/>
      <c r="F2" s="374"/>
      <c r="G2" s="375"/>
      <c r="H2" s="375"/>
      <c r="I2" s="375"/>
      <c r="J2" s="375"/>
      <c r="K2" s="375"/>
      <c r="L2" s="379"/>
      <c r="M2" s="379"/>
    </row>
    <row r="3" spans="1:13" ht="27.75" customHeight="1" x14ac:dyDescent="0.25">
      <c r="A3" s="380" t="s">
        <v>86</v>
      </c>
      <c r="B3" s="380" t="s">
        <v>87</v>
      </c>
      <c r="C3" s="380" t="s">
        <v>281</v>
      </c>
      <c r="D3" s="380" t="s">
        <v>11</v>
      </c>
      <c r="E3" s="380" t="s">
        <v>88</v>
      </c>
      <c r="F3" s="370" t="s">
        <v>534</v>
      </c>
      <c r="G3" s="371"/>
      <c r="H3" s="371"/>
      <c r="I3" s="371" t="s">
        <v>541</v>
      </c>
      <c r="J3" s="371"/>
      <c r="K3" s="376"/>
      <c r="L3" s="381" t="s">
        <v>89</v>
      </c>
      <c r="M3" s="382" t="s">
        <v>90</v>
      </c>
    </row>
    <row r="4" spans="1:13" ht="79.5" customHeight="1" x14ac:dyDescent="0.25">
      <c r="A4" s="380"/>
      <c r="B4" s="380"/>
      <c r="C4" s="380"/>
      <c r="D4" s="380"/>
      <c r="E4" s="380"/>
      <c r="F4" s="163" t="s">
        <v>535</v>
      </c>
      <c r="G4" s="163" t="s">
        <v>536</v>
      </c>
      <c r="H4" s="163" t="s">
        <v>537</v>
      </c>
      <c r="I4" s="163" t="s">
        <v>545</v>
      </c>
      <c r="J4" s="163" t="s">
        <v>544</v>
      </c>
      <c r="K4" s="172" t="s">
        <v>542</v>
      </c>
      <c r="L4" s="381"/>
      <c r="M4" s="382"/>
    </row>
    <row r="5" spans="1:13" ht="27.75" customHeight="1" x14ac:dyDescent="0.25">
      <c r="A5" s="94">
        <v>1</v>
      </c>
      <c r="B5" s="164" t="s">
        <v>91</v>
      </c>
      <c r="C5" s="94" t="s">
        <v>280</v>
      </c>
      <c r="D5" s="94" t="s">
        <v>277</v>
      </c>
      <c r="E5" s="94">
        <v>32</v>
      </c>
      <c r="F5" s="165">
        <v>135</v>
      </c>
      <c r="G5" s="165">
        <v>120</v>
      </c>
      <c r="H5" s="165">
        <v>111</v>
      </c>
      <c r="I5" s="165">
        <v>99.9</v>
      </c>
      <c r="J5" s="165" t="s">
        <v>291</v>
      </c>
      <c r="K5" s="165" t="s">
        <v>291</v>
      </c>
      <c r="L5" s="166">
        <f>SUM(F5:I5)/4</f>
        <v>116.47499999999999</v>
      </c>
      <c r="M5" s="167">
        <f>SUM(L5*E5)</f>
        <v>3727.2</v>
      </c>
    </row>
    <row r="6" spans="1:13" ht="32.25" customHeight="1" x14ac:dyDescent="0.25">
      <c r="A6" s="94">
        <v>2</v>
      </c>
      <c r="B6" s="164" t="s">
        <v>538</v>
      </c>
      <c r="C6" s="94" t="s">
        <v>279</v>
      </c>
      <c r="D6" s="94" t="s">
        <v>277</v>
      </c>
      <c r="E6" s="94">
        <v>4</v>
      </c>
      <c r="F6" s="165" t="s">
        <v>291</v>
      </c>
      <c r="G6" s="165" t="s">
        <v>291</v>
      </c>
      <c r="H6" s="165" t="s">
        <v>291</v>
      </c>
      <c r="I6" s="165">
        <v>261.77999999999997</v>
      </c>
      <c r="J6" s="165" t="s">
        <v>291</v>
      </c>
      <c r="K6" s="165" t="s">
        <v>291</v>
      </c>
      <c r="L6" s="166">
        <f>I6</f>
        <v>261.77999999999997</v>
      </c>
      <c r="M6" s="167">
        <f>SUM(L6*E6)</f>
        <v>1047.1199999999999</v>
      </c>
    </row>
    <row r="7" spans="1:13" ht="52.5" customHeight="1" x14ac:dyDescent="0.25">
      <c r="A7" s="94">
        <v>3</v>
      </c>
      <c r="B7" s="164" t="s">
        <v>92</v>
      </c>
      <c r="C7" s="94" t="s">
        <v>278</v>
      </c>
      <c r="D7" s="94" t="s">
        <v>137</v>
      </c>
      <c r="E7" s="94">
        <v>300</v>
      </c>
      <c r="F7" s="165" t="s">
        <v>291</v>
      </c>
      <c r="G7" s="165" t="s">
        <v>291</v>
      </c>
      <c r="H7" s="165" t="s">
        <v>291</v>
      </c>
      <c r="I7" s="165">
        <v>66.081659999999999</v>
      </c>
      <c r="J7" s="94" t="s">
        <v>291</v>
      </c>
      <c r="K7" s="94" t="s">
        <v>291</v>
      </c>
      <c r="L7" s="169">
        <f>I7</f>
        <v>66.081659999999999</v>
      </c>
      <c r="M7" s="167">
        <f>SUM(E7*L7)</f>
        <v>19824.498</v>
      </c>
    </row>
    <row r="8" spans="1:13" ht="30.75" customHeight="1" x14ac:dyDescent="0.25">
      <c r="A8" s="94">
        <v>5</v>
      </c>
      <c r="B8" s="170" t="s">
        <v>539</v>
      </c>
      <c r="C8" s="94" t="s">
        <v>93</v>
      </c>
      <c r="D8" s="94" t="s">
        <v>282</v>
      </c>
      <c r="E8" s="94">
        <v>12</v>
      </c>
      <c r="F8" s="165" t="s">
        <v>291</v>
      </c>
      <c r="G8" s="94" t="s">
        <v>291</v>
      </c>
      <c r="H8" s="94" t="s">
        <v>291</v>
      </c>
      <c r="I8" s="94" t="s">
        <v>291</v>
      </c>
      <c r="J8" s="165">
        <v>1600</v>
      </c>
      <c r="K8" s="165">
        <v>1000</v>
      </c>
      <c r="L8" s="168">
        <f>SUM(J8:K8)/2</f>
        <v>1300</v>
      </c>
      <c r="M8" s="167">
        <f>SUM(L8*E8)</f>
        <v>15600</v>
      </c>
    </row>
    <row r="9" spans="1:13" ht="20.25" customHeight="1" x14ac:dyDescent="0.25">
      <c r="A9" s="377" t="s">
        <v>94</v>
      </c>
      <c r="B9" s="377"/>
      <c r="C9" s="377"/>
      <c r="D9" s="377"/>
      <c r="E9" s="377"/>
      <c r="F9" s="377"/>
      <c r="G9" s="377"/>
      <c r="H9" s="377"/>
      <c r="I9" s="377"/>
      <c r="J9" s="377"/>
      <c r="K9" s="377"/>
      <c r="L9" s="377"/>
      <c r="M9" s="174">
        <f>SUM(M5:M8)</f>
        <v>40198.817999999999</v>
      </c>
    </row>
    <row r="10" spans="1:13" ht="21.75" customHeight="1" x14ac:dyDescent="0.25">
      <c r="A10" s="377" t="s">
        <v>227</v>
      </c>
      <c r="B10" s="377"/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174">
        <f>M9*14%</f>
        <v>5627.8345200000003</v>
      </c>
    </row>
    <row r="11" spans="1:13" ht="20.25" customHeight="1" x14ac:dyDescent="0.25">
      <c r="A11" s="377" t="s">
        <v>95</v>
      </c>
      <c r="B11" s="377"/>
      <c r="C11" s="377"/>
      <c r="D11" s="377"/>
      <c r="E11" s="377"/>
      <c r="F11" s="377"/>
      <c r="G11" s="377"/>
      <c r="H11" s="377"/>
      <c r="I11" s="377"/>
      <c r="J11" s="377"/>
      <c r="K11" s="377"/>
      <c r="L11" s="377"/>
      <c r="M11" s="174">
        <f>SUM(M9:M10)</f>
        <v>45826.652520000003</v>
      </c>
    </row>
    <row r="12" spans="1:13" ht="19.5" customHeight="1" x14ac:dyDescent="0.25">
      <c r="A12" s="377" t="s">
        <v>96</v>
      </c>
      <c r="B12" s="377" t="s">
        <v>97</v>
      </c>
      <c r="C12" s="377"/>
      <c r="D12" s="377"/>
      <c r="E12" s="377"/>
      <c r="F12" s="377"/>
      <c r="G12" s="377"/>
      <c r="H12" s="377"/>
      <c r="I12" s="377"/>
      <c r="J12" s="377"/>
      <c r="K12" s="377"/>
      <c r="L12" s="377"/>
      <c r="M12" s="174">
        <f>M11/12</f>
        <v>3818.8877100000004</v>
      </c>
    </row>
  </sheetData>
  <mergeCells count="16">
    <mergeCell ref="F3:H3"/>
    <mergeCell ref="F1:K2"/>
    <mergeCell ref="I3:K3"/>
    <mergeCell ref="A11:L11"/>
    <mergeCell ref="A12:L12"/>
    <mergeCell ref="A1:E2"/>
    <mergeCell ref="L1:M2"/>
    <mergeCell ref="A9:L9"/>
    <mergeCell ref="A3:A4"/>
    <mergeCell ref="B3:B4"/>
    <mergeCell ref="C3:C4"/>
    <mergeCell ref="D3:D4"/>
    <mergeCell ref="E3:E4"/>
    <mergeCell ref="L3:L4"/>
    <mergeCell ref="M3:M4"/>
    <mergeCell ref="A10:L10"/>
  </mergeCells>
  <printOptions horizontalCentered="1"/>
  <pageMargins left="0.51181102362204722" right="0.51181102362204722" top="1.3779527559055118" bottom="0.78740157480314965" header="0.31496062992125984" footer="0.31496062992125984"/>
  <pageSetup paperSize="9" scale="56" orientation="portrait" r:id="rId1"/>
  <headerFooter>
    <oddHeader>&amp;C&amp;G</oddHeader>
  </headerFooter>
  <ignoredErrors>
    <ignoredError sqref="M7" formula="1"/>
    <ignoredError sqref="L5" formulaRange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H19"/>
  <sheetViews>
    <sheetView zoomScaleNormal="100" zoomScaleSheetLayoutView="100" workbookViewId="0">
      <selection activeCell="F18" sqref="F18"/>
    </sheetView>
  </sheetViews>
  <sheetFormatPr defaultRowHeight="15.75" x14ac:dyDescent="0.2"/>
  <cols>
    <col min="1" max="1" width="39" style="6" customWidth="1"/>
    <col min="2" max="2" width="44.6640625" style="1" customWidth="1"/>
    <col min="3" max="3" width="39" style="1" customWidth="1"/>
  </cols>
  <sheetData>
    <row r="1" spans="1:5" thickTop="1" x14ac:dyDescent="0.2">
      <c r="A1" s="8" t="s">
        <v>109</v>
      </c>
      <c r="B1" s="8" t="s">
        <v>239</v>
      </c>
      <c r="C1" s="8" t="s">
        <v>15</v>
      </c>
    </row>
    <row r="2" spans="1:5" ht="15" x14ac:dyDescent="0.2">
      <c r="A2" s="9" t="s">
        <v>1</v>
      </c>
      <c r="B2" s="9" t="s">
        <v>240</v>
      </c>
      <c r="C2" s="10">
        <f>C3+C4</f>
        <v>2.1152720889409157E-2</v>
      </c>
    </row>
    <row r="3" spans="1:5" ht="15" x14ac:dyDescent="0.2">
      <c r="A3" s="5">
        <v>1</v>
      </c>
      <c r="B3" s="3" t="s">
        <v>241</v>
      </c>
      <c r="C3" s="4">
        <v>1.2652720889409158E-2</v>
      </c>
    </row>
    <row r="4" spans="1:5" ht="15" x14ac:dyDescent="0.2">
      <c r="A4" s="5">
        <v>2</v>
      </c>
      <c r="B4" s="3" t="s">
        <v>242</v>
      </c>
      <c r="C4" s="4">
        <v>8.5000000000000006E-3</v>
      </c>
    </row>
    <row r="5" spans="1:5" ht="15" x14ac:dyDescent="0.2">
      <c r="A5" s="5"/>
      <c r="B5" s="3"/>
      <c r="C5" s="3"/>
    </row>
    <row r="6" spans="1:5" ht="15" x14ac:dyDescent="0.2">
      <c r="A6" s="9" t="s">
        <v>3</v>
      </c>
      <c r="B6" s="9" t="s">
        <v>243</v>
      </c>
      <c r="C6" s="10">
        <f>SUM(C7:C10)</f>
        <v>2.5399999999999999E-2</v>
      </c>
      <c r="E6" s="2"/>
    </row>
    <row r="7" spans="1:5" ht="15" x14ac:dyDescent="0.2">
      <c r="A7" s="5">
        <v>3</v>
      </c>
      <c r="B7" s="3" t="s">
        <v>244</v>
      </c>
      <c r="C7" s="4">
        <v>2.2000000000000001E-3</v>
      </c>
    </row>
    <row r="8" spans="1:5" ht="15" x14ac:dyDescent="0.2">
      <c r="A8" s="5">
        <v>4</v>
      </c>
      <c r="B8" s="3" t="s">
        <v>245</v>
      </c>
      <c r="C8" s="4">
        <v>1.5E-3</v>
      </c>
    </row>
    <row r="9" spans="1:5" ht="15" x14ac:dyDescent="0.2">
      <c r="A9" s="5">
        <v>5</v>
      </c>
      <c r="B9" s="3" t="s">
        <v>246</v>
      </c>
      <c r="C9" s="4">
        <v>1.32E-2</v>
      </c>
    </row>
    <row r="10" spans="1:5" ht="15" x14ac:dyDescent="0.2">
      <c r="A10" s="5">
        <v>6</v>
      </c>
      <c r="B10" s="3" t="s">
        <v>247</v>
      </c>
      <c r="C10" s="4">
        <v>8.5000000000000006E-3</v>
      </c>
    </row>
    <row r="11" spans="1:5" ht="15" x14ac:dyDescent="0.2">
      <c r="A11" s="5"/>
      <c r="B11" s="3"/>
      <c r="C11" s="3"/>
    </row>
    <row r="12" spans="1:5" ht="15" x14ac:dyDescent="0.2">
      <c r="A12" s="9" t="s">
        <v>6</v>
      </c>
      <c r="B12" s="9" t="s">
        <v>248</v>
      </c>
      <c r="C12" s="10">
        <f>SUM(C13:C16)</f>
        <v>8.1499999999999989E-2</v>
      </c>
    </row>
    <row r="13" spans="1:5" ht="15" x14ac:dyDescent="0.2">
      <c r="A13" s="5">
        <v>7</v>
      </c>
      <c r="B13" s="3" t="s">
        <v>253</v>
      </c>
      <c r="C13" s="4">
        <v>0</v>
      </c>
    </row>
    <row r="14" spans="1:5" ht="15" x14ac:dyDescent="0.2">
      <c r="A14" s="5">
        <v>8</v>
      </c>
      <c r="B14" s="3" t="s">
        <v>249</v>
      </c>
      <c r="C14" s="4">
        <v>6.4999999999999997E-3</v>
      </c>
    </row>
    <row r="15" spans="1:5" ht="15" x14ac:dyDescent="0.2">
      <c r="A15" s="5">
        <v>9</v>
      </c>
      <c r="B15" s="3" t="s">
        <v>250</v>
      </c>
      <c r="C15" s="4">
        <v>0.03</v>
      </c>
    </row>
    <row r="16" spans="1:5" ht="15" x14ac:dyDescent="0.2">
      <c r="A16" s="5">
        <v>10</v>
      </c>
      <c r="B16" s="3" t="s">
        <v>251</v>
      </c>
      <c r="C16" s="4">
        <v>4.4999999999999998E-2</v>
      </c>
    </row>
    <row r="17" spans="1:8" ht="15" x14ac:dyDescent="0.2">
      <c r="A17" s="5"/>
      <c r="B17" s="3"/>
      <c r="C17" s="3"/>
    </row>
    <row r="18" spans="1:8" ht="24" customHeight="1" thickBot="1" x14ac:dyDescent="0.25">
      <c r="A18" s="11" t="s">
        <v>252</v>
      </c>
      <c r="B18" s="12" t="s">
        <v>260</v>
      </c>
      <c r="C18" s="13">
        <f>((((1+C2)*(1+C6))/(1-C12))-1)</f>
        <v>0.14000000000000035</v>
      </c>
    </row>
    <row r="19" spans="1:8" ht="16.5" thickTop="1" x14ac:dyDescent="0.2">
      <c r="H19" s="7"/>
    </row>
  </sheetData>
  <printOptions horizontalCentered="1"/>
  <pageMargins left="0.51181102362204722" right="0.51181102362204722" top="1.3779527559055118" bottom="0.78740157480314965" header="0.31496062992125984" footer="0.31496062992125984"/>
  <pageSetup paperSize="9" scale="88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F111"/>
  <sheetViews>
    <sheetView topLeftCell="A82" zoomScaleNormal="100" zoomScaleSheetLayoutView="130" workbookViewId="0">
      <selection activeCell="D88" sqref="D88:E88"/>
    </sheetView>
  </sheetViews>
  <sheetFormatPr defaultRowHeight="15.75" x14ac:dyDescent="0.2"/>
  <cols>
    <col min="1" max="1" width="13" style="22" customWidth="1"/>
    <col min="2" max="2" width="39.6640625" style="22" customWidth="1"/>
    <col min="3" max="3" width="51.5" style="22" customWidth="1"/>
    <col min="4" max="4" width="25.1640625" style="31" customWidth="1"/>
    <col min="5" max="5" width="25.6640625" style="32" customWidth="1"/>
    <col min="6" max="6" width="7.6640625" style="22" customWidth="1"/>
    <col min="7" max="16384" width="9.33203125" style="22"/>
  </cols>
  <sheetData>
    <row r="1" spans="1:5" ht="32.25" customHeight="1" x14ac:dyDescent="0.2">
      <c r="A1" s="178" t="s">
        <v>0</v>
      </c>
      <c r="B1" s="178"/>
      <c r="C1" s="178"/>
      <c r="D1" s="178"/>
      <c r="E1" s="178"/>
    </row>
    <row r="2" spans="1:5" ht="35.25" customHeight="1" x14ac:dyDescent="0.2">
      <c r="A2" s="189" t="s">
        <v>419</v>
      </c>
      <c r="B2" s="190"/>
      <c r="C2" s="190"/>
      <c r="D2" s="190"/>
      <c r="E2" s="191"/>
    </row>
    <row r="3" spans="1:5" x14ac:dyDescent="0.2">
      <c r="A3" s="33" t="s">
        <v>1</v>
      </c>
      <c r="B3" s="221" t="s">
        <v>2</v>
      </c>
      <c r="C3" s="221"/>
      <c r="D3" s="237"/>
      <c r="E3" s="237"/>
    </row>
    <row r="4" spans="1:5" x14ac:dyDescent="0.2">
      <c r="A4" s="33" t="s">
        <v>3</v>
      </c>
      <c r="B4" s="221" t="s">
        <v>4</v>
      </c>
      <c r="C4" s="221"/>
      <c r="D4" s="177" t="s">
        <v>5</v>
      </c>
      <c r="E4" s="177"/>
    </row>
    <row r="5" spans="1:5" x14ac:dyDescent="0.2">
      <c r="A5" s="33" t="s">
        <v>6</v>
      </c>
      <c r="B5" s="221" t="s">
        <v>7</v>
      </c>
      <c r="C5" s="221"/>
      <c r="D5" s="177" t="s">
        <v>436</v>
      </c>
      <c r="E5" s="177"/>
    </row>
    <row r="6" spans="1:5" x14ac:dyDescent="0.2">
      <c r="A6" s="33" t="s">
        <v>8</v>
      </c>
      <c r="B6" s="221" t="s">
        <v>9</v>
      </c>
      <c r="C6" s="221"/>
      <c r="D6" s="236">
        <v>36</v>
      </c>
      <c r="E6" s="236"/>
    </row>
    <row r="7" spans="1:5" x14ac:dyDescent="0.2">
      <c r="A7" s="33" t="s">
        <v>20</v>
      </c>
      <c r="B7" s="221" t="s">
        <v>10</v>
      </c>
      <c r="C7" s="221"/>
      <c r="D7" s="252" t="s">
        <v>437</v>
      </c>
      <c r="E7" s="253"/>
    </row>
    <row r="8" spans="1:5" x14ac:dyDescent="0.2">
      <c r="A8" s="33" t="s">
        <v>22</v>
      </c>
      <c r="B8" s="221" t="s">
        <v>11</v>
      </c>
      <c r="C8" s="221"/>
      <c r="D8" s="252" t="s">
        <v>428</v>
      </c>
      <c r="E8" s="253"/>
    </row>
    <row r="9" spans="1:5" ht="18.75" customHeight="1" x14ac:dyDescent="0.2">
      <c r="A9" s="230"/>
      <c r="B9" s="231"/>
      <c r="C9" s="231"/>
      <c r="D9" s="231"/>
      <c r="E9" s="232"/>
    </row>
    <row r="10" spans="1:5" ht="21" customHeight="1" x14ac:dyDescent="0.2">
      <c r="A10" s="189" t="s">
        <v>429</v>
      </c>
      <c r="B10" s="190"/>
      <c r="C10" s="190"/>
      <c r="D10" s="190"/>
      <c r="E10" s="191"/>
    </row>
    <row r="11" spans="1:5" ht="21" customHeight="1" x14ac:dyDescent="0.2">
      <c r="A11" s="189" t="s">
        <v>430</v>
      </c>
      <c r="B11" s="190"/>
      <c r="C11" s="190"/>
      <c r="D11" s="190"/>
      <c r="E11" s="191"/>
    </row>
    <row r="12" spans="1:5" x14ac:dyDescent="0.2">
      <c r="A12" s="37">
        <v>1</v>
      </c>
      <c r="B12" s="256" t="s">
        <v>431</v>
      </c>
      <c r="C12" s="257"/>
      <c r="D12" s="258" t="s">
        <v>434</v>
      </c>
      <c r="E12" s="258"/>
    </row>
    <row r="13" spans="1:5" x14ac:dyDescent="0.2">
      <c r="A13" s="37">
        <v>2</v>
      </c>
      <c r="B13" s="256" t="s">
        <v>12</v>
      </c>
      <c r="C13" s="257"/>
      <c r="D13" s="226" t="s">
        <v>267</v>
      </c>
      <c r="E13" s="226"/>
    </row>
    <row r="14" spans="1:5" x14ac:dyDescent="0.2">
      <c r="A14" s="37">
        <v>3</v>
      </c>
      <c r="B14" s="256" t="s">
        <v>432</v>
      </c>
      <c r="C14" s="257"/>
      <c r="D14" s="254">
        <v>4220.33</v>
      </c>
      <c r="E14" s="254"/>
    </row>
    <row r="15" spans="1:5" x14ac:dyDescent="0.2">
      <c r="A15" s="37">
        <v>4</v>
      </c>
      <c r="B15" s="256" t="s">
        <v>13</v>
      </c>
      <c r="C15" s="257"/>
      <c r="D15" s="177" t="s">
        <v>421</v>
      </c>
      <c r="E15" s="177"/>
    </row>
    <row r="16" spans="1:5" x14ac:dyDescent="0.2">
      <c r="A16" s="37">
        <v>5</v>
      </c>
      <c r="B16" s="256" t="s">
        <v>433</v>
      </c>
      <c r="C16" s="257"/>
      <c r="D16" s="255" t="s">
        <v>470</v>
      </c>
      <c r="E16" s="255"/>
    </row>
    <row r="17" spans="1:5" x14ac:dyDescent="0.25">
      <c r="A17" s="244"/>
      <c r="B17" s="245"/>
      <c r="C17" s="245"/>
      <c r="D17" s="245"/>
      <c r="E17" s="246"/>
    </row>
    <row r="18" spans="1:5" ht="30.75" customHeight="1" x14ac:dyDescent="0.2">
      <c r="A18" s="189" t="s">
        <v>435</v>
      </c>
      <c r="B18" s="190"/>
      <c r="C18" s="190"/>
      <c r="D18" s="190"/>
      <c r="E18" s="191"/>
    </row>
    <row r="19" spans="1:5" x14ac:dyDescent="0.2">
      <c r="A19" s="44" t="s">
        <v>450</v>
      </c>
      <c r="B19" s="249" t="s">
        <v>14</v>
      </c>
      <c r="C19" s="250"/>
      <c r="D19" s="251"/>
      <c r="E19" s="47" t="s">
        <v>16</v>
      </c>
    </row>
    <row r="20" spans="1:5" x14ac:dyDescent="0.2">
      <c r="A20" s="36" t="s">
        <v>1</v>
      </c>
      <c r="B20" s="214" t="s">
        <v>59</v>
      </c>
      <c r="C20" s="214"/>
      <c r="D20" s="39">
        <v>1</v>
      </c>
      <c r="E20" s="40">
        <f>D14</f>
        <v>4220.33</v>
      </c>
    </row>
    <row r="21" spans="1:5" x14ac:dyDescent="0.2">
      <c r="A21" s="36" t="s">
        <v>3</v>
      </c>
      <c r="B21" s="214" t="s">
        <v>17</v>
      </c>
      <c r="C21" s="214"/>
      <c r="D21" s="41">
        <v>0</v>
      </c>
      <c r="E21" s="42" t="s">
        <v>266</v>
      </c>
    </row>
    <row r="22" spans="1:5" x14ac:dyDescent="0.2">
      <c r="A22" s="36" t="s">
        <v>6</v>
      </c>
      <c r="B22" s="214" t="s">
        <v>18</v>
      </c>
      <c r="C22" s="214"/>
      <c r="D22" s="41">
        <v>0</v>
      </c>
      <c r="E22" s="42" t="s">
        <v>266</v>
      </c>
    </row>
    <row r="23" spans="1:5" x14ac:dyDescent="0.2">
      <c r="A23" s="36" t="s">
        <v>8</v>
      </c>
      <c r="B23" s="214" t="s">
        <v>19</v>
      </c>
      <c r="C23" s="214"/>
      <c r="D23" s="41">
        <v>0</v>
      </c>
      <c r="E23" s="42" t="s">
        <v>266</v>
      </c>
    </row>
    <row r="24" spans="1:5" x14ac:dyDescent="0.2">
      <c r="A24" s="36" t="s">
        <v>20</v>
      </c>
      <c r="B24" s="214" t="s">
        <v>438</v>
      </c>
      <c r="C24" s="214"/>
      <c r="D24" s="41">
        <v>0</v>
      </c>
      <c r="E24" s="42" t="s">
        <v>266</v>
      </c>
    </row>
    <row r="25" spans="1:5" x14ac:dyDescent="0.2">
      <c r="A25" s="36" t="s">
        <v>22</v>
      </c>
      <c r="B25" s="214" t="s">
        <v>23</v>
      </c>
      <c r="C25" s="214"/>
      <c r="D25" s="41">
        <v>0</v>
      </c>
      <c r="E25" s="42" t="s">
        <v>266</v>
      </c>
    </row>
    <row r="26" spans="1:5" ht="22.5" customHeight="1" x14ac:dyDescent="0.2">
      <c r="A26" s="211" t="s">
        <v>440</v>
      </c>
      <c r="B26" s="212"/>
      <c r="C26" s="212"/>
      <c r="D26" s="213"/>
      <c r="E26" s="43">
        <f t="shared" ref="E26" si="0">SUM(E20:E25)</f>
        <v>4220.33</v>
      </c>
    </row>
    <row r="27" spans="1:5" x14ac:dyDescent="0.25">
      <c r="A27" s="244"/>
      <c r="B27" s="245"/>
      <c r="C27" s="245"/>
      <c r="D27" s="245"/>
      <c r="E27" s="246"/>
    </row>
    <row r="28" spans="1:5" ht="26.25" customHeight="1" x14ac:dyDescent="0.2">
      <c r="A28" s="189" t="s">
        <v>439</v>
      </c>
      <c r="B28" s="190"/>
      <c r="C28" s="190"/>
      <c r="D28" s="190"/>
      <c r="E28" s="191"/>
    </row>
    <row r="29" spans="1:5" ht="23.25" customHeight="1" x14ac:dyDescent="0.2">
      <c r="A29" s="233" t="s">
        <v>24</v>
      </c>
      <c r="B29" s="234"/>
      <c r="C29" s="234"/>
      <c r="D29" s="235"/>
      <c r="E29" s="51" t="s">
        <v>16</v>
      </c>
    </row>
    <row r="30" spans="1:5" x14ac:dyDescent="0.2">
      <c r="A30" s="23" t="s">
        <v>1</v>
      </c>
      <c r="B30" s="221" t="s">
        <v>27</v>
      </c>
      <c r="C30" s="221"/>
      <c r="D30" s="45">
        <v>8.3299999999999999E-2</v>
      </c>
      <c r="E30" s="46">
        <f>E26*D30</f>
        <v>351.55348900000001</v>
      </c>
    </row>
    <row r="31" spans="1:5" x14ac:dyDescent="0.2">
      <c r="A31" s="23" t="s">
        <v>3</v>
      </c>
      <c r="B31" s="219" t="s">
        <v>423</v>
      </c>
      <c r="C31" s="220"/>
      <c r="D31" s="45">
        <v>8.3299999999999999E-2</v>
      </c>
      <c r="E31" s="46">
        <f>E26*D31</f>
        <v>351.55348900000001</v>
      </c>
    </row>
    <row r="32" spans="1:5" x14ac:dyDescent="0.2">
      <c r="A32" s="23" t="s">
        <v>6</v>
      </c>
      <c r="B32" s="221" t="s">
        <v>238</v>
      </c>
      <c r="C32" s="221"/>
      <c r="D32" s="45">
        <v>2.7799999999999998E-2</v>
      </c>
      <c r="E32" s="46">
        <f>E26*D32-0.07</f>
        <v>117.255174</v>
      </c>
    </row>
    <row r="33" spans="1:5" x14ac:dyDescent="0.2">
      <c r="A33" s="238" t="s">
        <v>441</v>
      </c>
      <c r="B33" s="239"/>
      <c r="C33" s="239"/>
      <c r="D33" s="240"/>
      <c r="E33" s="52">
        <f>SUM(E30:E32)</f>
        <v>820.36215200000004</v>
      </c>
    </row>
    <row r="34" spans="1:5" ht="36.75" customHeight="1" x14ac:dyDescent="0.2">
      <c r="A34" s="227" t="s">
        <v>474</v>
      </c>
      <c r="B34" s="228"/>
      <c r="C34" s="228"/>
      <c r="D34" s="228"/>
      <c r="E34" s="229"/>
    </row>
    <row r="35" spans="1:5" x14ac:dyDescent="0.2">
      <c r="A35" s="230"/>
      <c r="B35" s="231"/>
      <c r="C35" s="231"/>
      <c r="D35" s="231"/>
      <c r="E35" s="232"/>
    </row>
    <row r="36" spans="1:5" ht="31.5" customHeight="1" x14ac:dyDescent="0.2">
      <c r="A36" s="233" t="s">
        <v>38</v>
      </c>
      <c r="B36" s="234"/>
      <c r="C36" s="234"/>
      <c r="D36" s="235"/>
      <c r="E36" s="51" t="s">
        <v>16</v>
      </c>
    </row>
    <row r="37" spans="1:5" x14ac:dyDescent="0.2">
      <c r="A37" s="23" t="s">
        <v>1</v>
      </c>
      <c r="B37" s="221" t="s">
        <v>41</v>
      </c>
      <c r="C37" s="221"/>
      <c r="D37" s="53">
        <v>0.2</v>
      </c>
      <c r="E37" s="42">
        <f>(E26+E33)*D37</f>
        <v>1008.1384303999999</v>
      </c>
    </row>
    <row r="38" spans="1:5" x14ac:dyDescent="0.2">
      <c r="A38" s="23" t="s">
        <v>3</v>
      </c>
      <c r="B38" s="214" t="s">
        <v>42</v>
      </c>
      <c r="C38" s="214"/>
      <c r="D38" s="53">
        <v>2.5000000000000001E-2</v>
      </c>
      <c r="E38" s="42">
        <f>E$26*D38</f>
        <v>105.50825</v>
      </c>
    </row>
    <row r="39" spans="1:5" x14ac:dyDescent="0.2">
      <c r="A39" s="23" t="s">
        <v>6</v>
      </c>
      <c r="B39" s="217" t="s">
        <v>43</v>
      </c>
      <c r="C39" s="218"/>
      <c r="D39" s="53">
        <v>0.03</v>
      </c>
      <c r="E39" s="42">
        <f t="shared" ref="E39:E45" si="1">E$26*D39</f>
        <v>126.6099</v>
      </c>
    </row>
    <row r="40" spans="1:5" x14ac:dyDescent="0.2">
      <c r="A40" s="23" t="s">
        <v>8</v>
      </c>
      <c r="B40" s="217" t="s">
        <v>44</v>
      </c>
      <c r="C40" s="218"/>
      <c r="D40" s="53">
        <v>1.4999999999999999E-2</v>
      </c>
      <c r="E40" s="42">
        <f t="shared" si="1"/>
        <v>63.304949999999998</v>
      </c>
    </row>
    <row r="41" spans="1:5" x14ac:dyDescent="0.2">
      <c r="A41" s="23" t="s">
        <v>20</v>
      </c>
      <c r="B41" s="217" t="s">
        <v>45</v>
      </c>
      <c r="C41" s="218"/>
      <c r="D41" s="53">
        <v>0.01</v>
      </c>
      <c r="E41" s="42">
        <f t="shared" si="1"/>
        <v>42.203299999999999</v>
      </c>
    </row>
    <row r="42" spans="1:5" x14ac:dyDescent="0.2">
      <c r="A42" s="23" t="s">
        <v>22</v>
      </c>
      <c r="B42" s="217" t="s">
        <v>46</v>
      </c>
      <c r="C42" s="218"/>
      <c r="D42" s="53">
        <v>6.0000000000000001E-3</v>
      </c>
      <c r="E42" s="42">
        <f t="shared" si="1"/>
        <v>25.32198</v>
      </c>
    </row>
    <row r="43" spans="1:5" x14ac:dyDescent="0.2">
      <c r="A43" s="25" t="s">
        <v>47</v>
      </c>
      <c r="B43" s="219" t="s">
        <v>258</v>
      </c>
      <c r="C43" s="225"/>
      <c r="D43" s="54">
        <v>2E-3</v>
      </c>
      <c r="E43" s="42">
        <f t="shared" si="1"/>
        <v>8.4406599999999994</v>
      </c>
    </row>
    <row r="44" spans="1:5" x14ac:dyDescent="0.2">
      <c r="A44" s="25" t="s">
        <v>48</v>
      </c>
      <c r="B44" s="219" t="s">
        <v>465</v>
      </c>
      <c r="C44" s="220"/>
      <c r="D44" s="54">
        <v>3.49E-2</v>
      </c>
      <c r="E44" s="42">
        <f t="shared" si="1"/>
        <v>147.28951699999999</v>
      </c>
    </row>
    <row r="45" spans="1:5" x14ac:dyDescent="0.2">
      <c r="A45" s="23" t="s">
        <v>69</v>
      </c>
      <c r="B45" s="217" t="s">
        <v>49</v>
      </c>
      <c r="C45" s="218"/>
      <c r="D45" s="53">
        <v>0.08</v>
      </c>
      <c r="E45" s="42">
        <f t="shared" si="1"/>
        <v>337.62639999999999</v>
      </c>
    </row>
    <row r="46" spans="1:5" x14ac:dyDescent="0.2">
      <c r="A46" s="238" t="s">
        <v>442</v>
      </c>
      <c r="B46" s="239"/>
      <c r="C46" s="239"/>
      <c r="D46" s="240"/>
      <c r="E46" s="55">
        <f>SUM(E37:E45)</f>
        <v>1864.4433873999997</v>
      </c>
    </row>
    <row r="47" spans="1:5" x14ac:dyDescent="0.2">
      <c r="A47" s="241"/>
      <c r="B47" s="242"/>
      <c r="C47" s="242"/>
      <c r="D47" s="242"/>
      <c r="E47" s="243"/>
    </row>
    <row r="48" spans="1:5" ht="26.25" customHeight="1" x14ac:dyDescent="0.2">
      <c r="A48" s="197" t="s">
        <v>50</v>
      </c>
      <c r="B48" s="198"/>
      <c r="C48" s="199"/>
      <c r="D48" s="185" t="s">
        <v>16</v>
      </c>
      <c r="E48" s="185"/>
    </row>
    <row r="49" spans="1:6" x14ac:dyDescent="0.2">
      <c r="A49" s="35" t="s">
        <v>1</v>
      </c>
      <c r="B49" s="187" t="s">
        <v>58</v>
      </c>
      <c r="C49" s="247"/>
      <c r="D49" s="208"/>
      <c r="E49" s="208"/>
      <c r="F49" s="22">
        <v>-11.22</v>
      </c>
    </row>
    <row r="50" spans="1:6" x14ac:dyDescent="0.2">
      <c r="A50" s="35" t="s">
        <v>3</v>
      </c>
      <c r="B50" s="177" t="s">
        <v>422</v>
      </c>
      <c r="C50" s="177"/>
      <c r="D50" s="248">
        <f>(22*44.3)</f>
        <v>974.59999999999991</v>
      </c>
      <c r="E50" s="223"/>
    </row>
    <row r="51" spans="1:6" x14ac:dyDescent="0.2">
      <c r="A51" s="35" t="s">
        <v>6</v>
      </c>
      <c r="B51" s="187" t="s">
        <v>425</v>
      </c>
      <c r="C51" s="187"/>
      <c r="D51" s="208"/>
      <c r="E51" s="208"/>
    </row>
    <row r="52" spans="1:6" x14ac:dyDescent="0.2">
      <c r="A52" s="56" t="s">
        <v>8</v>
      </c>
      <c r="B52" s="177" t="s">
        <v>53</v>
      </c>
      <c r="C52" s="177"/>
      <c r="D52" s="208"/>
      <c r="E52" s="208"/>
    </row>
    <row r="53" spans="1:6" x14ac:dyDescent="0.2">
      <c r="A53" s="35" t="s">
        <v>20</v>
      </c>
      <c r="B53" s="187" t="s">
        <v>54</v>
      </c>
      <c r="C53" s="187"/>
      <c r="D53" s="208" t="s">
        <v>266</v>
      </c>
      <c r="E53" s="208"/>
    </row>
    <row r="54" spans="1:6" x14ac:dyDescent="0.2">
      <c r="A54" s="35" t="s">
        <v>22</v>
      </c>
      <c r="B54" s="177" t="s">
        <v>237</v>
      </c>
      <c r="C54" s="200"/>
      <c r="D54" s="208"/>
      <c r="E54" s="208"/>
    </row>
    <row r="55" spans="1:6" x14ac:dyDescent="0.2">
      <c r="A55" s="238" t="s">
        <v>443</v>
      </c>
      <c r="B55" s="239"/>
      <c r="C55" s="240"/>
      <c r="D55" s="195">
        <f>SUM(D49:D54)</f>
        <v>974.59999999999991</v>
      </c>
      <c r="E55" s="195"/>
    </row>
    <row r="56" spans="1:6" x14ac:dyDescent="0.25">
      <c r="A56" s="201"/>
      <c r="B56" s="202"/>
      <c r="C56" s="203"/>
      <c r="D56" s="204"/>
      <c r="E56" s="204"/>
    </row>
    <row r="57" spans="1:6" ht="45" customHeight="1" x14ac:dyDescent="0.2">
      <c r="A57" s="189" t="s">
        <v>55</v>
      </c>
      <c r="B57" s="190"/>
      <c r="C57" s="190"/>
      <c r="D57" s="190"/>
      <c r="E57" s="191"/>
    </row>
    <row r="58" spans="1:6" ht="30" customHeight="1" x14ac:dyDescent="0.2">
      <c r="A58" s="60" t="s">
        <v>449</v>
      </c>
      <c r="B58" s="216" t="s">
        <v>56</v>
      </c>
      <c r="C58" s="216"/>
      <c r="D58" s="185" t="s">
        <v>16</v>
      </c>
      <c r="E58" s="185"/>
    </row>
    <row r="59" spans="1:6" x14ac:dyDescent="0.2">
      <c r="A59" s="23" t="s">
        <v>25</v>
      </c>
      <c r="B59" s="214" t="s">
        <v>26</v>
      </c>
      <c r="C59" s="214"/>
      <c r="D59" s="208">
        <f>E33</f>
        <v>820.36215200000004</v>
      </c>
      <c r="E59" s="215"/>
    </row>
    <row r="60" spans="1:6" x14ac:dyDescent="0.2">
      <c r="A60" s="23" t="s">
        <v>39</v>
      </c>
      <c r="B60" s="214" t="s">
        <v>40</v>
      </c>
      <c r="C60" s="214"/>
      <c r="D60" s="208">
        <f>E46</f>
        <v>1864.4433873999997</v>
      </c>
      <c r="E60" s="215"/>
    </row>
    <row r="61" spans="1:6" x14ac:dyDescent="0.2">
      <c r="A61" s="23" t="s">
        <v>51</v>
      </c>
      <c r="B61" s="214" t="s">
        <v>52</v>
      </c>
      <c r="C61" s="214"/>
      <c r="D61" s="223">
        <f>D55</f>
        <v>974.59999999999991</v>
      </c>
      <c r="E61" s="215"/>
    </row>
    <row r="62" spans="1:6" x14ac:dyDescent="0.2">
      <c r="A62" s="211" t="s">
        <v>444</v>
      </c>
      <c r="B62" s="212"/>
      <c r="C62" s="213"/>
      <c r="D62" s="224">
        <f>SUM(D59:D61)</f>
        <v>3659.4055393999997</v>
      </c>
      <c r="E62" s="224"/>
    </row>
    <row r="63" spans="1:6" x14ac:dyDescent="0.25">
      <c r="A63" s="244"/>
      <c r="B63" s="245"/>
      <c r="C63" s="245"/>
      <c r="D63" s="245"/>
      <c r="E63" s="246"/>
    </row>
    <row r="64" spans="1:6" ht="21.75" customHeight="1" x14ac:dyDescent="0.2">
      <c r="A64" s="189" t="s">
        <v>445</v>
      </c>
      <c r="B64" s="190"/>
      <c r="C64" s="190"/>
      <c r="D64" s="190"/>
      <c r="E64" s="191"/>
    </row>
    <row r="65" spans="1:5" ht="20.25" customHeight="1" x14ac:dyDescent="0.2">
      <c r="A65" s="60" t="s">
        <v>448</v>
      </c>
      <c r="B65" s="197" t="s">
        <v>57</v>
      </c>
      <c r="C65" s="198"/>
      <c r="D65" s="199"/>
      <c r="E65" s="51" t="s">
        <v>16</v>
      </c>
    </row>
    <row r="66" spans="1:5" x14ac:dyDescent="0.2">
      <c r="A66" s="25" t="s">
        <v>1</v>
      </c>
      <c r="B66" s="217" t="s">
        <v>228</v>
      </c>
      <c r="C66" s="218"/>
      <c r="D66" s="54">
        <v>2.5000000000000001E-2</v>
      </c>
      <c r="E66" s="42">
        <f>E$26*D66</f>
        <v>105.50825</v>
      </c>
    </row>
    <row r="67" spans="1:5" ht="15.75" customHeight="1" x14ac:dyDescent="0.2">
      <c r="A67" s="25" t="s">
        <v>3</v>
      </c>
      <c r="B67" s="221" t="s">
        <v>255</v>
      </c>
      <c r="C67" s="222"/>
      <c r="D67" s="54">
        <v>2E-3</v>
      </c>
      <c r="E67" s="42">
        <f t="shared" ref="E67:E71" si="2">E$26*D67</f>
        <v>8.4406599999999994</v>
      </c>
    </row>
    <row r="68" spans="1:5" x14ac:dyDescent="0.2">
      <c r="A68" s="25" t="s">
        <v>6</v>
      </c>
      <c r="B68" s="221" t="s">
        <v>256</v>
      </c>
      <c r="C68" s="220"/>
      <c r="D68" s="54">
        <v>3.2099999999999997E-2</v>
      </c>
      <c r="E68" s="42">
        <f t="shared" si="2"/>
        <v>135.47259299999999</v>
      </c>
    </row>
    <row r="69" spans="1:5" x14ac:dyDescent="0.2">
      <c r="A69" s="25" t="s">
        <v>8</v>
      </c>
      <c r="B69" s="219" t="s">
        <v>229</v>
      </c>
      <c r="C69" s="220"/>
      <c r="D69" s="54">
        <v>1.9400000000000001E-2</v>
      </c>
      <c r="E69" s="42">
        <f t="shared" si="2"/>
        <v>81.874402000000003</v>
      </c>
    </row>
    <row r="70" spans="1:5" x14ac:dyDescent="0.2">
      <c r="A70" s="25" t="s">
        <v>20</v>
      </c>
      <c r="B70" s="217" t="s">
        <v>420</v>
      </c>
      <c r="C70" s="218"/>
      <c r="D70" s="54">
        <v>2.9681999999999998E-3</v>
      </c>
      <c r="E70" s="42">
        <f t="shared" si="2"/>
        <v>12.526783505999999</v>
      </c>
    </row>
    <row r="71" spans="1:5" x14ac:dyDescent="0.2">
      <c r="A71" s="25" t="s">
        <v>22</v>
      </c>
      <c r="B71" s="217" t="s">
        <v>257</v>
      </c>
      <c r="C71" s="218"/>
      <c r="D71" s="54">
        <v>8.6999999999999994E-3</v>
      </c>
      <c r="E71" s="42">
        <f t="shared" si="2"/>
        <v>36.716870999999998</v>
      </c>
    </row>
    <row r="72" spans="1:5" x14ac:dyDescent="0.2">
      <c r="A72" s="211" t="s">
        <v>446</v>
      </c>
      <c r="B72" s="212"/>
      <c r="C72" s="212"/>
      <c r="D72" s="213"/>
      <c r="E72" s="43">
        <f>SUM(E66:E71)</f>
        <v>380.53955950599993</v>
      </c>
    </row>
    <row r="73" spans="1:5" x14ac:dyDescent="0.25">
      <c r="A73" s="186"/>
      <c r="B73" s="186"/>
      <c r="C73" s="186"/>
      <c r="D73" s="210"/>
      <c r="E73" s="210"/>
    </row>
    <row r="74" spans="1:5" ht="30" customHeight="1" x14ac:dyDescent="0.2">
      <c r="A74" s="189" t="s">
        <v>447</v>
      </c>
      <c r="B74" s="190"/>
      <c r="C74" s="190"/>
      <c r="D74" s="190"/>
      <c r="E74" s="191"/>
    </row>
    <row r="75" spans="1:5" ht="23.25" customHeight="1" x14ac:dyDescent="0.2">
      <c r="A75" s="50" t="s">
        <v>451</v>
      </c>
      <c r="B75" s="48" t="s">
        <v>452</v>
      </c>
      <c r="C75" s="48"/>
      <c r="D75" s="49"/>
      <c r="E75" s="51" t="s">
        <v>16</v>
      </c>
    </row>
    <row r="76" spans="1:5" x14ac:dyDescent="0.2">
      <c r="A76" s="35" t="s">
        <v>1</v>
      </c>
      <c r="B76" s="177" t="s">
        <v>236</v>
      </c>
      <c r="C76" s="177"/>
      <c r="D76" s="54">
        <v>8.3299999999999999E-2</v>
      </c>
      <c r="E76" s="42">
        <f>SUM(E$26*D76) + 0.1</f>
        <v>351.65348900000004</v>
      </c>
    </row>
    <row r="77" spans="1:5" x14ac:dyDescent="0.2">
      <c r="A77" s="35" t="s">
        <v>3</v>
      </c>
      <c r="B77" s="200" t="s">
        <v>235</v>
      </c>
      <c r="C77" s="200"/>
      <c r="D77" s="54">
        <v>5.4999999999999997E-3</v>
      </c>
      <c r="E77" s="42">
        <f>SUM(E$26*D77)</f>
        <v>23.211814999999998</v>
      </c>
    </row>
    <row r="78" spans="1:5" x14ac:dyDescent="0.2">
      <c r="A78" s="35" t="s">
        <v>6</v>
      </c>
      <c r="B78" s="200" t="s">
        <v>234</v>
      </c>
      <c r="C78" s="200"/>
      <c r="D78" s="54">
        <v>1.1000000000000001E-3</v>
      </c>
      <c r="E78" s="42">
        <f t="shared" ref="E78:E81" si="3">SUM(E$26*D78)</f>
        <v>4.6423630000000005</v>
      </c>
    </row>
    <row r="79" spans="1:5" x14ac:dyDescent="0.2">
      <c r="A79" s="35" t="s">
        <v>8</v>
      </c>
      <c r="B79" s="200" t="s">
        <v>233</v>
      </c>
      <c r="C79" s="200"/>
      <c r="D79" s="54">
        <v>4.1999999999999997E-3</v>
      </c>
      <c r="E79" s="42">
        <f t="shared" si="3"/>
        <v>17.725386</v>
      </c>
    </row>
    <row r="80" spans="1:5" x14ac:dyDescent="0.2">
      <c r="A80" s="35" t="s">
        <v>20</v>
      </c>
      <c r="B80" s="205" t="s">
        <v>232</v>
      </c>
      <c r="C80" s="205"/>
      <c r="D80" s="54">
        <v>1E-3</v>
      </c>
      <c r="E80" s="42" t="s">
        <v>266</v>
      </c>
    </row>
    <row r="81" spans="1:5" x14ac:dyDescent="0.2">
      <c r="A81" s="35" t="s">
        <v>22</v>
      </c>
      <c r="B81" s="177" t="s">
        <v>231</v>
      </c>
      <c r="C81" s="200"/>
      <c r="D81" s="54">
        <v>1.66E-2</v>
      </c>
      <c r="E81" s="42">
        <f t="shared" si="3"/>
        <v>70.057478000000003</v>
      </c>
    </row>
    <row r="82" spans="1:5" x14ac:dyDescent="0.2">
      <c r="A82" s="211" t="s">
        <v>476</v>
      </c>
      <c r="B82" s="212"/>
      <c r="C82" s="212"/>
      <c r="D82" s="213"/>
      <c r="E82" s="61">
        <f>SUM(E76:E81)</f>
        <v>467.29053100000004</v>
      </c>
    </row>
    <row r="83" spans="1:5" x14ac:dyDescent="0.25">
      <c r="A83" s="201"/>
      <c r="B83" s="202"/>
      <c r="C83" s="203"/>
      <c r="D83" s="204"/>
      <c r="E83" s="204"/>
    </row>
    <row r="84" spans="1:5" ht="25.5" customHeight="1" x14ac:dyDescent="0.2">
      <c r="A84" s="189" t="s">
        <v>462</v>
      </c>
      <c r="B84" s="190"/>
      <c r="C84" s="190"/>
      <c r="D84" s="190"/>
      <c r="E84" s="191"/>
    </row>
    <row r="85" spans="1:5" x14ac:dyDescent="0.2">
      <c r="A85" s="60" t="s">
        <v>453</v>
      </c>
      <c r="B85" s="216" t="s">
        <v>30</v>
      </c>
      <c r="C85" s="216"/>
      <c r="D85" s="185" t="s">
        <v>16</v>
      </c>
      <c r="E85" s="185"/>
    </row>
    <row r="86" spans="1:5" ht="21" customHeight="1" x14ac:dyDescent="0.2">
      <c r="A86" s="35" t="s">
        <v>1</v>
      </c>
      <c r="B86" s="177" t="s">
        <v>31</v>
      </c>
      <c r="C86" s="177"/>
      <c r="D86" s="208">
        <f>UNIFORMES!O9</f>
        <v>55.400833333333338</v>
      </c>
      <c r="E86" s="208"/>
    </row>
    <row r="87" spans="1:5" ht="22.5" customHeight="1" x14ac:dyDescent="0.2">
      <c r="A87" s="35" t="s">
        <v>3</v>
      </c>
      <c r="B87" s="207" t="s">
        <v>456</v>
      </c>
      <c r="C87" s="207"/>
      <c r="D87" s="208" t="s">
        <v>266</v>
      </c>
      <c r="E87" s="208"/>
    </row>
    <row r="88" spans="1:5" ht="50.25" customHeight="1" x14ac:dyDescent="0.2">
      <c r="A88" s="35" t="s">
        <v>6</v>
      </c>
      <c r="B88" s="207" t="s">
        <v>454</v>
      </c>
      <c r="C88" s="207"/>
      <c r="D88" s="223">
        <f>FERRAMENTAS!AB77</f>
        <v>44.853365079365076</v>
      </c>
      <c r="E88" s="223"/>
    </row>
    <row r="89" spans="1:5" ht="37.5" customHeight="1" x14ac:dyDescent="0.2">
      <c r="A89" s="35" t="s">
        <v>8</v>
      </c>
      <c r="B89" s="177" t="s">
        <v>459</v>
      </c>
      <c r="C89" s="177"/>
      <c r="D89" s="223">
        <f>EPI!O31</f>
        <v>47.272192460317463</v>
      </c>
      <c r="E89" s="223"/>
    </row>
    <row r="90" spans="1:5" ht="24" customHeight="1" x14ac:dyDescent="0.2">
      <c r="A90" s="211" t="s">
        <v>455</v>
      </c>
      <c r="B90" s="212"/>
      <c r="C90" s="213"/>
      <c r="D90" s="209">
        <f>SUM(D86:D89)</f>
        <v>147.52639087301588</v>
      </c>
      <c r="E90" s="209"/>
    </row>
    <row r="91" spans="1:5" x14ac:dyDescent="0.25">
      <c r="A91" s="201"/>
      <c r="B91" s="202"/>
      <c r="C91" s="203"/>
      <c r="D91" s="204"/>
      <c r="E91" s="204"/>
    </row>
    <row r="92" spans="1:5" ht="27" customHeight="1" x14ac:dyDescent="0.2">
      <c r="A92" s="189" t="s">
        <v>457</v>
      </c>
      <c r="B92" s="190"/>
      <c r="C92" s="190"/>
      <c r="D92" s="190"/>
      <c r="E92" s="191"/>
    </row>
    <row r="93" spans="1:5" ht="19.5" customHeight="1" x14ac:dyDescent="0.2">
      <c r="A93" s="60" t="s">
        <v>458</v>
      </c>
      <c r="B93" s="197" t="s">
        <v>32</v>
      </c>
      <c r="C93" s="198"/>
      <c r="D93" s="199"/>
      <c r="E93" s="51" t="s">
        <v>16</v>
      </c>
    </row>
    <row r="94" spans="1:5" x14ac:dyDescent="0.2">
      <c r="A94" s="38" t="s">
        <v>1</v>
      </c>
      <c r="B94" s="187" t="s">
        <v>33</v>
      </c>
      <c r="C94" s="187"/>
      <c r="D94" s="63">
        <v>0.03</v>
      </c>
      <c r="E94" s="73">
        <f>SUM(E$108*D94)</f>
        <v>266.25306062337052</v>
      </c>
    </row>
    <row r="95" spans="1:5" x14ac:dyDescent="0.2">
      <c r="A95" s="38" t="s">
        <v>3</v>
      </c>
      <c r="B95" s="187" t="s">
        <v>230</v>
      </c>
      <c r="C95" s="187"/>
      <c r="D95" s="63">
        <v>0.08</v>
      </c>
      <c r="E95" s="73">
        <f>(E94+E$108)*D95</f>
        <v>731.30840651219103</v>
      </c>
    </row>
    <row r="96" spans="1:5" x14ac:dyDescent="0.2">
      <c r="A96" s="38" t="s">
        <v>6</v>
      </c>
      <c r="B96" s="187" t="s">
        <v>34</v>
      </c>
      <c r="C96" s="187"/>
      <c r="D96" s="62">
        <v>8.6499999999999994E-2</v>
      </c>
      <c r="E96" s="74">
        <f>D96*E110</f>
        <v>934.84990881730812</v>
      </c>
    </row>
    <row r="97" spans="1:5" x14ac:dyDescent="0.2">
      <c r="A97" s="204"/>
      <c r="B97" s="187" t="s">
        <v>427</v>
      </c>
      <c r="C97" s="187"/>
      <c r="D97" s="63">
        <v>3.6499999999999998E-2</v>
      </c>
      <c r="E97" s="74">
        <f>E110*D97</f>
        <v>394.47423898071384</v>
      </c>
    </row>
    <row r="98" spans="1:5" x14ac:dyDescent="0.2">
      <c r="A98" s="204"/>
      <c r="B98" s="187" t="s">
        <v>426</v>
      </c>
      <c r="C98" s="187"/>
      <c r="D98" s="63">
        <v>0.05</v>
      </c>
      <c r="E98" s="74">
        <f>E110*D98</f>
        <v>540.3756698365944</v>
      </c>
    </row>
    <row r="99" spans="1:5" ht="23.25" customHeight="1" x14ac:dyDescent="0.2">
      <c r="A99" s="204"/>
      <c r="B99" s="211" t="s">
        <v>461</v>
      </c>
      <c r="C99" s="212"/>
      <c r="D99" s="213"/>
      <c r="E99" s="66">
        <f>SUM(E94:E98)</f>
        <v>2867.2612847701776</v>
      </c>
    </row>
    <row r="100" spans="1:5" x14ac:dyDescent="0.25">
      <c r="A100" s="206"/>
      <c r="B100" s="206"/>
      <c r="C100" s="206"/>
      <c r="D100" s="196"/>
      <c r="E100" s="196"/>
    </row>
    <row r="101" spans="1:5" ht="22.5" customHeight="1" x14ac:dyDescent="0.2">
      <c r="A101" s="189" t="s">
        <v>460</v>
      </c>
      <c r="B101" s="190"/>
      <c r="C101" s="190"/>
      <c r="D101" s="190"/>
      <c r="E101" s="191"/>
    </row>
    <row r="102" spans="1:5" ht="31.5" customHeight="1" x14ac:dyDescent="0.2">
      <c r="A102" s="197" t="s">
        <v>35</v>
      </c>
      <c r="B102" s="198"/>
      <c r="C102" s="198"/>
      <c r="D102" s="199"/>
      <c r="E102" s="50" t="s">
        <v>36</v>
      </c>
    </row>
    <row r="103" spans="1:5" x14ac:dyDescent="0.2">
      <c r="A103" s="35" t="s">
        <v>1</v>
      </c>
      <c r="B103" s="262" t="s">
        <v>413</v>
      </c>
      <c r="C103" s="263"/>
      <c r="D103" s="264"/>
      <c r="E103" s="64">
        <f>E26</f>
        <v>4220.33</v>
      </c>
    </row>
    <row r="104" spans="1:5" x14ac:dyDescent="0.2">
      <c r="A104" s="35" t="s">
        <v>3</v>
      </c>
      <c r="B104" s="259" t="s">
        <v>414</v>
      </c>
      <c r="C104" s="260"/>
      <c r="D104" s="261"/>
      <c r="E104" s="64">
        <f>D62</f>
        <v>3659.4055393999997</v>
      </c>
    </row>
    <row r="105" spans="1:5" x14ac:dyDescent="0.2">
      <c r="A105" s="35" t="s">
        <v>6</v>
      </c>
      <c r="B105" s="259" t="s">
        <v>415</v>
      </c>
      <c r="C105" s="260"/>
      <c r="D105" s="261"/>
      <c r="E105" s="64">
        <f>E72</f>
        <v>380.53955950599993</v>
      </c>
    </row>
    <row r="106" spans="1:5" x14ac:dyDescent="0.2">
      <c r="A106" s="35" t="s">
        <v>8</v>
      </c>
      <c r="B106" s="259" t="s">
        <v>416</v>
      </c>
      <c r="C106" s="260"/>
      <c r="D106" s="261"/>
      <c r="E106" s="64">
        <f>E82</f>
        <v>467.29053100000004</v>
      </c>
    </row>
    <row r="107" spans="1:5" x14ac:dyDescent="0.2">
      <c r="A107" s="35" t="s">
        <v>20</v>
      </c>
      <c r="B107" s="259" t="s">
        <v>463</v>
      </c>
      <c r="C107" s="260"/>
      <c r="D107" s="261"/>
      <c r="E107" s="64">
        <f>D90</f>
        <v>147.52639087301588</v>
      </c>
    </row>
    <row r="108" spans="1:5" x14ac:dyDescent="0.2">
      <c r="A108" s="57"/>
      <c r="B108" s="230" t="s">
        <v>85</v>
      </c>
      <c r="C108" s="231"/>
      <c r="D108" s="232"/>
      <c r="E108" s="65">
        <f>SUM(E103:E107)+0.01</f>
        <v>8875.102020779017</v>
      </c>
    </row>
    <row r="109" spans="1:5" x14ac:dyDescent="0.2">
      <c r="A109" s="35" t="s">
        <v>22</v>
      </c>
      <c r="B109" s="259" t="s">
        <v>418</v>
      </c>
      <c r="C109" s="260"/>
      <c r="D109" s="261"/>
      <c r="E109" s="64">
        <f>E99</f>
        <v>2867.2612847701776</v>
      </c>
    </row>
    <row r="110" spans="1:5" ht="24" customHeight="1" x14ac:dyDescent="0.2">
      <c r="A110" s="211" t="s">
        <v>37</v>
      </c>
      <c r="B110" s="212"/>
      <c r="C110" s="212"/>
      <c r="D110" s="213"/>
      <c r="E110" s="67">
        <f>(E94+E95+E108)/(1-D96)</f>
        <v>10807.513396731887</v>
      </c>
    </row>
    <row r="111" spans="1:5" x14ac:dyDescent="0.2">
      <c r="D111" s="30"/>
      <c r="E111" s="30"/>
    </row>
  </sheetData>
  <mergeCells count="145">
    <mergeCell ref="B105:D105"/>
    <mergeCell ref="B106:D106"/>
    <mergeCell ref="B107:D107"/>
    <mergeCell ref="B99:D99"/>
    <mergeCell ref="B109:D109"/>
    <mergeCell ref="A110:D110"/>
    <mergeCell ref="B108:D108"/>
    <mergeCell ref="A82:D82"/>
    <mergeCell ref="A84:E84"/>
    <mergeCell ref="A90:C90"/>
    <mergeCell ref="A92:E92"/>
    <mergeCell ref="B93:D93"/>
    <mergeCell ref="A101:E101"/>
    <mergeCell ref="B103:D103"/>
    <mergeCell ref="B104:D104"/>
    <mergeCell ref="B88:C88"/>
    <mergeCell ref="D88:E88"/>
    <mergeCell ref="B89:C89"/>
    <mergeCell ref="D89:E89"/>
    <mergeCell ref="B85:C85"/>
    <mergeCell ref="D85:E85"/>
    <mergeCell ref="B86:C86"/>
    <mergeCell ref="D86:E86"/>
    <mergeCell ref="A9:E9"/>
    <mergeCell ref="A27:E27"/>
    <mergeCell ref="A26:D26"/>
    <mergeCell ref="B19:D19"/>
    <mergeCell ref="A33:D33"/>
    <mergeCell ref="A29:D29"/>
    <mergeCell ref="A10:E10"/>
    <mergeCell ref="B7:C7"/>
    <mergeCell ref="B8:C8"/>
    <mergeCell ref="D7:E7"/>
    <mergeCell ref="A11:E11"/>
    <mergeCell ref="D14:E14"/>
    <mergeCell ref="D16:E16"/>
    <mergeCell ref="B12:C12"/>
    <mergeCell ref="B13:C13"/>
    <mergeCell ref="B14:C14"/>
    <mergeCell ref="B15:C15"/>
    <mergeCell ref="B16:C16"/>
    <mergeCell ref="D12:E12"/>
    <mergeCell ref="D8:E8"/>
    <mergeCell ref="B21:C21"/>
    <mergeCell ref="B22:C22"/>
    <mergeCell ref="B31:C31"/>
    <mergeCell ref="A17:E17"/>
    <mergeCell ref="A46:D46"/>
    <mergeCell ref="A47:E47"/>
    <mergeCell ref="A48:C48"/>
    <mergeCell ref="A55:C55"/>
    <mergeCell ref="A57:E57"/>
    <mergeCell ref="A63:E63"/>
    <mergeCell ref="A62:C62"/>
    <mergeCell ref="A64:E64"/>
    <mergeCell ref="B65:D65"/>
    <mergeCell ref="D52:E52"/>
    <mergeCell ref="B53:C53"/>
    <mergeCell ref="D53:E53"/>
    <mergeCell ref="D48:E48"/>
    <mergeCell ref="B49:C49"/>
    <mergeCell ref="D49:E49"/>
    <mergeCell ref="B50:C50"/>
    <mergeCell ref="D50:E50"/>
    <mergeCell ref="A56:C56"/>
    <mergeCell ref="D56:E56"/>
    <mergeCell ref="B51:C51"/>
    <mergeCell ref="D51:E51"/>
    <mergeCell ref="B52:C52"/>
    <mergeCell ref="B54:C54"/>
    <mergeCell ref="D54:E54"/>
    <mergeCell ref="B5:C5"/>
    <mergeCell ref="D5:E5"/>
    <mergeCell ref="B6:C6"/>
    <mergeCell ref="D6:E6"/>
    <mergeCell ref="B3:C3"/>
    <mergeCell ref="D3:E3"/>
    <mergeCell ref="B4:C4"/>
    <mergeCell ref="D4:E4"/>
    <mergeCell ref="A1:E1"/>
    <mergeCell ref="A2:E2"/>
    <mergeCell ref="B41:C41"/>
    <mergeCell ref="B42:C42"/>
    <mergeCell ref="B43:C43"/>
    <mergeCell ref="B45:C45"/>
    <mergeCell ref="D15:E15"/>
    <mergeCell ref="D13:E13"/>
    <mergeCell ref="B39:C39"/>
    <mergeCell ref="B40:C40"/>
    <mergeCell ref="B30:C30"/>
    <mergeCell ref="B32:C32"/>
    <mergeCell ref="A28:E28"/>
    <mergeCell ref="A34:E34"/>
    <mergeCell ref="A35:E35"/>
    <mergeCell ref="A18:E18"/>
    <mergeCell ref="A36:D36"/>
    <mergeCell ref="B44:C44"/>
    <mergeCell ref="B37:C37"/>
    <mergeCell ref="B38:C38"/>
    <mergeCell ref="B23:C23"/>
    <mergeCell ref="B24:C24"/>
    <mergeCell ref="B25:C25"/>
    <mergeCell ref="B20:C20"/>
    <mergeCell ref="D73:E73"/>
    <mergeCell ref="A74:E74"/>
    <mergeCell ref="A72:D72"/>
    <mergeCell ref="D58:E58"/>
    <mergeCell ref="B59:C59"/>
    <mergeCell ref="D59:E59"/>
    <mergeCell ref="B60:C60"/>
    <mergeCell ref="D60:E60"/>
    <mergeCell ref="B58:C58"/>
    <mergeCell ref="B70:C70"/>
    <mergeCell ref="B69:C69"/>
    <mergeCell ref="B68:C68"/>
    <mergeCell ref="B71:C71"/>
    <mergeCell ref="B66:C66"/>
    <mergeCell ref="B67:C67"/>
    <mergeCell ref="B61:C61"/>
    <mergeCell ref="D61:E61"/>
    <mergeCell ref="D62:E62"/>
    <mergeCell ref="D55:E55"/>
    <mergeCell ref="D100:E100"/>
    <mergeCell ref="A102:D102"/>
    <mergeCell ref="B81:C81"/>
    <mergeCell ref="A83:C83"/>
    <mergeCell ref="D83:E83"/>
    <mergeCell ref="B76:C76"/>
    <mergeCell ref="B77:C77"/>
    <mergeCell ref="B78:C78"/>
    <mergeCell ref="B79:C79"/>
    <mergeCell ref="B80:C80"/>
    <mergeCell ref="A100:C100"/>
    <mergeCell ref="B87:C87"/>
    <mergeCell ref="D87:E87"/>
    <mergeCell ref="B95:C95"/>
    <mergeCell ref="B96:C96"/>
    <mergeCell ref="A97:A99"/>
    <mergeCell ref="B97:C97"/>
    <mergeCell ref="B98:C98"/>
    <mergeCell ref="D90:E90"/>
    <mergeCell ref="B94:C94"/>
    <mergeCell ref="A91:C91"/>
    <mergeCell ref="D91:E91"/>
    <mergeCell ref="A73:C73"/>
  </mergeCells>
  <printOptions horizontalCentered="1"/>
  <pageMargins left="0.31496062992125984" right="0.31496062992125984" top="1.3779527559055118" bottom="0.59055118110236227" header="0.31496062992125984" footer="0.31496062992125984"/>
  <pageSetup paperSize="9" scale="85" orientation="portrait" r:id="rId1"/>
  <headerFooter>
    <oddHeader>&amp;C&amp;G</oddHeader>
  </headerFooter>
  <rowBreaks count="2" manualBreakCount="2">
    <brk id="37" max="6" man="1"/>
    <brk id="83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E111"/>
  <sheetViews>
    <sheetView tabSelected="1" topLeftCell="A28" zoomScaleNormal="100" zoomScaleSheetLayoutView="130" workbookViewId="0">
      <selection activeCell="B50" sqref="B50:C50"/>
    </sheetView>
  </sheetViews>
  <sheetFormatPr defaultRowHeight="15.75" x14ac:dyDescent="0.2"/>
  <cols>
    <col min="1" max="1" width="5.1640625" style="22" customWidth="1"/>
    <col min="2" max="2" width="39.6640625" style="22" customWidth="1"/>
    <col min="3" max="3" width="43.33203125" style="22" customWidth="1"/>
    <col min="4" max="4" width="24.83203125" style="31" customWidth="1"/>
    <col min="5" max="5" width="22" style="32" customWidth="1"/>
    <col min="6" max="16384" width="9.33203125" style="22"/>
  </cols>
  <sheetData>
    <row r="1" spans="1:5" x14ac:dyDescent="0.2">
      <c r="A1" s="178" t="s">
        <v>0</v>
      </c>
      <c r="B1" s="178"/>
      <c r="C1" s="178"/>
      <c r="D1" s="178"/>
      <c r="E1" s="178"/>
    </row>
    <row r="2" spans="1:5" ht="34.5" customHeight="1" x14ac:dyDescent="0.2">
      <c r="A2" s="178" t="s">
        <v>419</v>
      </c>
      <c r="B2" s="178"/>
      <c r="C2" s="178"/>
      <c r="D2" s="178"/>
      <c r="E2" s="178"/>
    </row>
    <row r="3" spans="1:5" ht="19.5" customHeight="1" x14ac:dyDescent="0.2">
      <c r="A3" s="37" t="s">
        <v>1</v>
      </c>
      <c r="B3" s="177" t="s">
        <v>2</v>
      </c>
      <c r="C3" s="177"/>
      <c r="D3" s="237"/>
      <c r="E3" s="237"/>
    </row>
    <row r="4" spans="1:5" ht="16.5" customHeight="1" x14ac:dyDescent="0.2">
      <c r="A4" s="37" t="s">
        <v>3</v>
      </c>
      <c r="B4" s="177" t="s">
        <v>4</v>
      </c>
      <c r="C4" s="177"/>
      <c r="D4" s="177" t="s">
        <v>5</v>
      </c>
      <c r="E4" s="177"/>
    </row>
    <row r="5" spans="1:5" ht="33.75" customHeight="1" x14ac:dyDescent="0.2">
      <c r="A5" s="37" t="s">
        <v>6</v>
      </c>
      <c r="B5" s="177" t="s">
        <v>7</v>
      </c>
      <c r="C5" s="177"/>
      <c r="D5" s="207" t="s">
        <v>477</v>
      </c>
      <c r="E5" s="207"/>
    </row>
    <row r="6" spans="1:5" ht="15.75" customHeight="1" x14ac:dyDescent="0.2">
      <c r="A6" s="37" t="s">
        <v>8</v>
      </c>
      <c r="B6" s="177" t="s">
        <v>9</v>
      </c>
      <c r="C6" s="177"/>
      <c r="D6" s="236">
        <v>36</v>
      </c>
      <c r="E6" s="236"/>
    </row>
    <row r="7" spans="1:5" ht="12.75" customHeight="1" x14ac:dyDescent="0.2">
      <c r="A7" s="37" t="s">
        <v>20</v>
      </c>
      <c r="B7" s="177" t="s">
        <v>10</v>
      </c>
      <c r="C7" s="177"/>
      <c r="D7" s="177" t="s">
        <v>437</v>
      </c>
      <c r="E7" s="177"/>
    </row>
    <row r="8" spans="1:5" x14ac:dyDescent="0.2">
      <c r="A8" s="37" t="s">
        <v>22</v>
      </c>
      <c r="B8" s="177" t="s">
        <v>11</v>
      </c>
      <c r="C8" s="177"/>
      <c r="D8" s="252" t="s">
        <v>428</v>
      </c>
      <c r="E8" s="253"/>
    </row>
    <row r="9" spans="1:5" x14ac:dyDescent="0.25">
      <c r="A9" s="244"/>
      <c r="B9" s="245"/>
      <c r="C9" s="280"/>
      <c r="D9" s="201"/>
      <c r="E9" s="202"/>
    </row>
    <row r="10" spans="1:5" ht="24.75" customHeight="1" x14ac:dyDescent="0.2">
      <c r="A10" s="189" t="s">
        <v>429</v>
      </c>
      <c r="B10" s="190"/>
      <c r="C10" s="190"/>
      <c r="D10" s="190"/>
      <c r="E10" s="191"/>
    </row>
    <row r="11" spans="1:5" ht="23.25" customHeight="1" x14ac:dyDescent="0.2">
      <c r="A11" s="189" t="s">
        <v>430</v>
      </c>
      <c r="B11" s="190"/>
      <c r="C11" s="190"/>
      <c r="D11" s="190"/>
      <c r="E11" s="191"/>
    </row>
    <row r="12" spans="1:5" x14ac:dyDescent="0.2">
      <c r="A12" s="69">
        <v>1</v>
      </c>
      <c r="B12" s="256" t="s">
        <v>431</v>
      </c>
      <c r="C12" s="257"/>
      <c r="D12" s="177" t="s">
        <v>475</v>
      </c>
      <c r="E12" s="200"/>
    </row>
    <row r="13" spans="1:5" ht="15.75" customHeight="1" x14ac:dyDescent="0.2">
      <c r="A13" s="69">
        <v>2</v>
      </c>
      <c r="B13" s="256" t="s">
        <v>12</v>
      </c>
      <c r="C13" s="257"/>
      <c r="D13" s="177" t="s">
        <v>268</v>
      </c>
      <c r="E13" s="177"/>
    </row>
    <row r="14" spans="1:5" ht="15.75" customHeight="1" x14ac:dyDescent="0.2">
      <c r="A14" s="69">
        <v>3</v>
      </c>
      <c r="B14" s="256" t="s">
        <v>432</v>
      </c>
      <c r="C14" s="257"/>
      <c r="D14" s="291">
        <v>3796.48</v>
      </c>
      <c r="E14" s="292"/>
    </row>
    <row r="15" spans="1:5" ht="15.75" customHeight="1" x14ac:dyDescent="0.2">
      <c r="A15" s="69">
        <v>4</v>
      </c>
      <c r="B15" s="256" t="s">
        <v>13</v>
      </c>
      <c r="C15" s="257"/>
      <c r="D15" s="177" t="s">
        <v>472</v>
      </c>
      <c r="E15" s="177"/>
    </row>
    <row r="16" spans="1:5" s="27" customFormat="1" x14ac:dyDescent="0.2">
      <c r="A16" s="69">
        <v>5</v>
      </c>
      <c r="B16" s="256" t="s">
        <v>433</v>
      </c>
      <c r="C16" s="257"/>
      <c r="D16" s="177" t="s">
        <v>424</v>
      </c>
      <c r="E16" s="177"/>
    </row>
    <row r="17" spans="1:5" x14ac:dyDescent="0.25">
      <c r="A17" s="186"/>
      <c r="B17" s="186"/>
      <c r="C17" s="186"/>
      <c r="D17" s="186"/>
      <c r="E17" s="186"/>
    </row>
    <row r="18" spans="1:5" x14ac:dyDescent="0.2">
      <c r="A18" s="189" t="s">
        <v>435</v>
      </c>
      <c r="B18" s="190"/>
      <c r="C18" s="190"/>
      <c r="D18" s="190"/>
      <c r="E18" s="191"/>
    </row>
    <row r="19" spans="1:5" x14ac:dyDescent="0.2">
      <c r="A19" s="44" t="s">
        <v>450</v>
      </c>
      <c r="B19" s="249" t="s">
        <v>14</v>
      </c>
      <c r="C19" s="250"/>
      <c r="D19" s="251"/>
      <c r="E19" s="47" t="s">
        <v>16</v>
      </c>
    </row>
    <row r="20" spans="1:5" x14ac:dyDescent="0.2">
      <c r="A20" s="23" t="s">
        <v>1</v>
      </c>
      <c r="B20" s="266" t="s">
        <v>59</v>
      </c>
      <c r="C20" s="266"/>
      <c r="D20" s="39">
        <v>1</v>
      </c>
      <c r="E20" s="40">
        <v>3796.48</v>
      </c>
    </row>
    <row r="21" spans="1:5" x14ac:dyDescent="0.2">
      <c r="A21" s="23" t="s">
        <v>3</v>
      </c>
      <c r="B21" s="214" t="s">
        <v>17</v>
      </c>
      <c r="C21" s="214"/>
      <c r="D21" s="41">
        <v>0</v>
      </c>
      <c r="E21" s="42" t="s">
        <v>266</v>
      </c>
    </row>
    <row r="22" spans="1:5" x14ac:dyDescent="0.2">
      <c r="A22" s="23" t="s">
        <v>6</v>
      </c>
      <c r="B22" s="214" t="s">
        <v>18</v>
      </c>
      <c r="C22" s="214"/>
      <c r="D22" s="41">
        <v>0</v>
      </c>
      <c r="E22" s="42" t="s">
        <v>266</v>
      </c>
    </row>
    <row r="23" spans="1:5" x14ac:dyDescent="0.2">
      <c r="A23" s="23" t="s">
        <v>8</v>
      </c>
      <c r="B23" s="214" t="s">
        <v>19</v>
      </c>
      <c r="C23" s="214"/>
      <c r="D23" s="41">
        <v>0</v>
      </c>
      <c r="E23" s="42" t="s">
        <v>266</v>
      </c>
    </row>
    <row r="24" spans="1:5" x14ac:dyDescent="0.2">
      <c r="A24" s="23" t="s">
        <v>20</v>
      </c>
      <c r="B24" s="214" t="s">
        <v>21</v>
      </c>
      <c r="C24" s="214"/>
      <c r="D24" s="41">
        <v>0</v>
      </c>
      <c r="E24" s="42" t="s">
        <v>266</v>
      </c>
    </row>
    <row r="25" spans="1:5" x14ac:dyDescent="0.2">
      <c r="A25" s="23" t="s">
        <v>22</v>
      </c>
      <c r="B25" s="214" t="s">
        <v>23</v>
      </c>
      <c r="C25" s="214"/>
      <c r="D25" s="41">
        <v>0</v>
      </c>
      <c r="E25" s="42" t="s">
        <v>266</v>
      </c>
    </row>
    <row r="26" spans="1:5" x14ac:dyDescent="0.2">
      <c r="A26" s="211" t="s">
        <v>440</v>
      </c>
      <c r="B26" s="212"/>
      <c r="C26" s="212"/>
      <c r="D26" s="213"/>
      <c r="E26" s="43">
        <f t="shared" ref="E26" si="0">SUM(E20:E25)</f>
        <v>3796.48</v>
      </c>
    </row>
    <row r="27" spans="1:5" x14ac:dyDescent="0.25">
      <c r="A27" s="186"/>
      <c r="B27" s="186"/>
      <c r="C27" s="186"/>
      <c r="D27" s="186"/>
      <c r="E27" s="186"/>
    </row>
    <row r="28" spans="1:5" x14ac:dyDescent="0.2">
      <c r="A28" s="189" t="s">
        <v>439</v>
      </c>
      <c r="B28" s="190"/>
      <c r="C28" s="190"/>
      <c r="D28" s="190"/>
      <c r="E28" s="191"/>
    </row>
    <row r="29" spans="1:5" ht="23.25" customHeight="1" x14ac:dyDescent="0.2">
      <c r="A29" s="233" t="s">
        <v>24</v>
      </c>
      <c r="B29" s="234"/>
      <c r="C29" s="234"/>
      <c r="D29" s="235"/>
      <c r="E29" s="72" t="s">
        <v>16</v>
      </c>
    </row>
    <row r="30" spans="1:5" x14ac:dyDescent="0.2">
      <c r="A30" s="35" t="s">
        <v>1</v>
      </c>
      <c r="B30" s="177" t="s">
        <v>27</v>
      </c>
      <c r="C30" s="177"/>
      <c r="D30" s="54">
        <v>8.3299999999999999E-2</v>
      </c>
      <c r="E30" s="42">
        <f>E26*D30</f>
        <v>316.24678399999999</v>
      </c>
    </row>
    <row r="31" spans="1:5" x14ac:dyDescent="0.2">
      <c r="A31" s="35" t="s">
        <v>3</v>
      </c>
      <c r="B31" s="177" t="s">
        <v>423</v>
      </c>
      <c r="C31" s="177"/>
      <c r="D31" s="54">
        <v>8.3299999999999999E-2</v>
      </c>
      <c r="E31" s="42">
        <f>E26*D31</f>
        <v>316.24678399999999</v>
      </c>
    </row>
    <row r="32" spans="1:5" x14ac:dyDescent="0.2">
      <c r="A32" s="25" t="s">
        <v>6</v>
      </c>
      <c r="B32" s="221" t="s">
        <v>238</v>
      </c>
      <c r="C32" s="221"/>
      <c r="D32" s="54">
        <v>2.7799999999999998E-2</v>
      </c>
      <c r="E32" s="75">
        <f>E26*D32-0.07</f>
        <v>105.472144</v>
      </c>
    </row>
    <row r="33" spans="1:5" x14ac:dyDescent="0.2">
      <c r="A33" s="238" t="s">
        <v>441</v>
      </c>
      <c r="B33" s="239"/>
      <c r="C33" s="239"/>
      <c r="D33" s="240"/>
      <c r="E33" s="76">
        <f>SUM(E30:E32)</f>
        <v>737.96571199999994</v>
      </c>
    </row>
    <row r="34" spans="1:5" ht="39.75" customHeight="1" x14ac:dyDescent="0.2">
      <c r="A34" s="227" t="s">
        <v>474</v>
      </c>
      <c r="B34" s="228"/>
      <c r="C34" s="228"/>
      <c r="D34" s="228"/>
      <c r="E34" s="229"/>
    </row>
    <row r="35" spans="1:5" s="68" customFormat="1" x14ac:dyDescent="0.2">
      <c r="A35" s="285"/>
      <c r="B35" s="285"/>
      <c r="C35" s="285"/>
      <c r="D35" s="285"/>
      <c r="E35" s="285"/>
    </row>
    <row r="36" spans="1:5" ht="36" customHeight="1" x14ac:dyDescent="0.2">
      <c r="A36" s="286" t="s">
        <v>38</v>
      </c>
      <c r="B36" s="287"/>
      <c r="C36" s="287"/>
      <c r="D36" s="288"/>
      <c r="E36" s="51" t="s">
        <v>16</v>
      </c>
    </row>
    <row r="37" spans="1:5" x14ac:dyDescent="0.2">
      <c r="A37" s="23" t="s">
        <v>1</v>
      </c>
      <c r="B37" s="265" t="s">
        <v>41</v>
      </c>
      <c r="C37" s="265"/>
      <c r="D37" s="53">
        <v>0.2</v>
      </c>
      <c r="E37" s="42">
        <f>D37*(E26+E33)</f>
        <v>906.88914239999997</v>
      </c>
    </row>
    <row r="38" spans="1:5" x14ac:dyDescent="0.2">
      <c r="A38" s="23" t="s">
        <v>3</v>
      </c>
      <c r="B38" s="214" t="s">
        <v>42</v>
      </c>
      <c r="C38" s="214"/>
      <c r="D38" s="53">
        <v>2.5000000000000001E-2</v>
      </c>
      <c r="E38" s="42">
        <f>E$26*D38</f>
        <v>94.912000000000006</v>
      </c>
    </row>
    <row r="39" spans="1:5" x14ac:dyDescent="0.2">
      <c r="A39" s="23" t="s">
        <v>6</v>
      </c>
      <c r="B39" s="214" t="s">
        <v>43</v>
      </c>
      <c r="C39" s="214"/>
      <c r="D39" s="53">
        <v>0.03</v>
      </c>
      <c r="E39" s="42">
        <f t="shared" ref="E39:E45" si="1">E$26*D39</f>
        <v>113.89439999999999</v>
      </c>
    </row>
    <row r="40" spans="1:5" x14ac:dyDescent="0.2">
      <c r="A40" s="23" t="s">
        <v>8</v>
      </c>
      <c r="B40" s="214" t="s">
        <v>44</v>
      </c>
      <c r="C40" s="214"/>
      <c r="D40" s="53">
        <v>1.4999999999999999E-2</v>
      </c>
      <c r="E40" s="42">
        <f t="shared" si="1"/>
        <v>56.947199999999995</v>
      </c>
    </row>
    <row r="41" spans="1:5" x14ac:dyDescent="0.2">
      <c r="A41" s="23" t="s">
        <v>20</v>
      </c>
      <c r="B41" s="214" t="s">
        <v>45</v>
      </c>
      <c r="C41" s="214"/>
      <c r="D41" s="53">
        <v>0.01</v>
      </c>
      <c r="E41" s="42">
        <f t="shared" si="1"/>
        <v>37.964800000000004</v>
      </c>
    </row>
    <row r="42" spans="1:5" x14ac:dyDescent="0.2">
      <c r="A42" s="23" t="s">
        <v>22</v>
      </c>
      <c r="B42" s="214" t="s">
        <v>46</v>
      </c>
      <c r="C42" s="214"/>
      <c r="D42" s="53">
        <v>6.0000000000000001E-3</v>
      </c>
      <c r="E42" s="42">
        <f t="shared" si="1"/>
        <v>22.778880000000001</v>
      </c>
    </row>
    <row r="43" spans="1:5" x14ac:dyDescent="0.2">
      <c r="A43" s="25" t="s">
        <v>47</v>
      </c>
      <c r="B43" s="221" t="s">
        <v>258</v>
      </c>
      <c r="C43" s="221"/>
      <c r="D43" s="54">
        <v>2E-3</v>
      </c>
      <c r="E43" s="42">
        <f t="shared" si="1"/>
        <v>7.5929600000000006</v>
      </c>
    </row>
    <row r="44" spans="1:5" x14ac:dyDescent="0.2">
      <c r="A44" s="35" t="s">
        <v>48</v>
      </c>
      <c r="B44" s="289" t="s">
        <v>466</v>
      </c>
      <c r="C44" s="290"/>
      <c r="D44" s="54">
        <v>3.49E-2</v>
      </c>
      <c r="E44" s="42">
        <f t="shared" si="1"/>
        <v>132.497152</v>
      </c>
    </row>
    <row r="45" spans="1:5" x14ac:dyDescent="0.2">
      <c r="A45" s="23" t="s">
        <v>48</v>
      </c>
      <c r="B45" s="214" t="s">
        <v>49</v>
      </c>
      <c r="C45" s="214"/>
      <c r="D45" s="53">
        <v>0.08</v>
      </c>
      <c r="E45" s="42">
        <f t="shared" si="1"/>
        <v>303.71840000000003</v>
      </c>
    </row>
    <row r="46" spans="1:5" x14ac:dyDescent="0.2">
      <c r="A46" s="238" t="s">
        <v>442</v>
      </c>
      <c r="B46" s="239"/>
      <c r="C46" s="239"/>
      <c r="D46" s="240"/>
      <c r="E46" s="55">
        <f t="shared" ref="E46" si="2">SUM(E37:E45)</f>
        <v>1677.1949344</v>
      </c>
    </row>
    <row r="47" spans="1:5" x14ac:dyDescent="0.2">
      <c r="A47" s="285"/>
      <c r="B47" s="285"/>
      <c r="C47" s="285"/>
      <c r="D47" s="285"/>
      <c r="E47" s="285"/>
    </row>
    <row r="48" spans="1:5" ht="20.25" customHeight="1" x14ac:dyDescent="0.2">
      <c r="A48" s="197" t="s">
        <v>50</v>
      </c>
      <c r="B48" s="198"/>
      <c r="C48" s="199"/>
      <c r="D48" s="274" t="s">
        <v>16</v>
      </c>
      <c r="E48" s="274"/>
    </row>
    <row r="49" spans="1:5" ht="18" customHeight="1" x14ac:dyDescent="0.2">
      <c r="A49" s="25" t="s">
        <v>1</v>
      </c>
      <c r="B49" s="187" t="s">
        <v>58</v>
      </c>
      <c r="C49" s="247"/>
      <c r="D49" s="208">
        <f>((5.5)*2*22) - 6%*E26</f>
        <v>14.211200000000019</v>
      </c>
      <c r="E49" s="208"/>
    </row>
    <row r="50" spans="1:5" x14ac:dyDescent="0.2">
      <c r="A50" s="25" t="s">
        <v>3</v>
      </c>
      <c r="B50" s="177" t="s">
        <v>467</v>
      </c>
      <c r="C50" s="177"/>
      <c r="D50" s="248">
        <f>(22*44.86)</f>
        <v>986.92</v>
      </c>
      <c r="E50" s="223"/>
    </row>
    <row r="51" spans="1:5" x14ac:dyDescent="0.2">
      <c r="A51" s="25" t="s">
        <v>6</v>
      </c>
      <c r="B51" s="187" t="s">
        <v>425</v>
      </c>
      <c r="C51" s="187"/>
      <c r="D51" s="208"/>
      <c r="E51" s="208"/>
    </row>
    <row r="52" spans="1:5" x14ac:dyDescent="0.2">
      <c r="A52" s="29" t="s">
        <v>8</v>
      </c>
      <c r="B52" s="177" t="s">
        <v>53</v>
      </c>
      <c r="C52" s="177"/>
      <c r="D52" s="208"/>
      <c r="E52" s="208"/>
    </row>
    <row r="53" spans="1:5" x14ac:dyDescent="0.2">
      <c r="A53" s="25" t="s">
        <v>20</v>
      </c>
      <c r="B53" s="187" t="s">
        <v>54</v>
      </c>
      <c r="C53" s="187"/>
      <c r="D53" s="208" t="s">
        <v>266</v>
      </c>
      <c r="E53" s="208"/>
    </row>
    <row r="54" spans="1:5" ht="12.75" customHeight="1" x14ac:dyDescent="0.2">
      <c r="A54" s="25" t="s">
        <v>22</v>
      </c>
      <c r="B54" s="177" t="s">
        <v>237</v>
      </c>
      <c r="C54" s="200"/>
      <c r="D54" s="208"/>
      <c r="E54" s="208"/>
    </row>
    <row r="55" spans="1:5" x14ac:dyDescent="0.2">
      <c r="A55" s="238" t="s">
        <v>443</v>
      </c>
      <c r="B55" s="239"/>
      <c r="C55" s="240"/>
      <c r="D55" s="195">
        <f>SUM(D49:D54)</f>
        <v>1001.1312</v>
      </c>
      <c r="E55" s="195"/>
    </row>
    <row r="56" spans="1:5" x14ac:dyDescent="0.25">
      <c r="A56" s="244"/>
      <c r="B56" s="245"/>
      <c r="C56" s="280"/>
      <c r="D56" s="201"/>
      <c r="E56" s="202"/>
    </row>
    <row r="57" spans="1:5" ht="28.5" customHeight="1" x14ac:dyDescent="0.2">
      <c r="A57" s="189" t="s">
        <v>55</v>
      </c>
      <c r="B57" s="190"/>
      <c r="C57" s="190"/>
      <c r="D57" s="190"/>
      <c r="E57" s="191"/>
    </row>
    <row r="58" spans="1:5" ht="15.75" customHeight="1" x14ac:dyDescent="0.2">
      <c r="A58" s="60" t="s">
        <v>449</v>
      </c>
      <c r="B58" s="216" t="s">
        <v>56</v>
      </c>
      <c r="C58" s="216"/>
      <c r="D58" s="274" t="s">
        <v>16</v>
      </c>
      <c r="E58" s="274"/>
    </row>
    <row r="59" spans="1:5" x14ac:dyDescent="0.2">
      <c r="A59" s="23" t="s">
        <v>25</v>
      </c>
      <c r="B59" s="214" t="s">
        <v>26</v>
      </c>
      <c r="C59" s="214"/>
      <c r="D59" s="208">
        <f>E32</f>
        <v>105.472144</v>
      </c>
      <c r="E59" s="215"/>
    </row>
    <row r="60" spans="1:5" x14ac:dyDescent="0.2">
      <c r="A60" s="23" t="s">
        <v>39</v>
      </c>
      <c r="B60" s="214" t="s">
        <v>40</v>
      </c>
      <c r="C60" s="214"/>
      <c r="D60" s="208">
        <f>E46</f>
        <v>1677.1949344</v>
      </c>
      <c r="E60" s="215"/>
    </row>
    <row r="61" spans="1:5" x14ac:dyDescent="0.2">
      <c r="A61" s="23" t="s">
        <v>51</v>
      </c>
      <c r="B61" s="214" t="s">
        <v>52</v>
      </c>
      <c r="C61" s="214"/>
      <c r="D61" s="223">
        <f>D55</f>
        <v>1001.1312</v>
      </c>
      <c r="E61" s="215"/>
    </row>
    <row r="62" spans="1:5" x14ac:dyDescent="0.2">
      <c r="A62" s="211" t="s">
        <v>444</v>
      </c>
      <c r="B62" s="212"/>
      <c r="C62" s="213"/>
      <c r="D62" s="224">
        <f>SUM(D59:D61)</f>
        <v>2783.7982784000001</v>
      </c>
      <c r="E62" s="224"/>
    </row>
    <row r="63" spans="1:5" x14ac:dyDescent="0.25">
      <c r="A63" s="244"/>
      <c r="B63" s="245"/>
      <c r="C63" s="280"/>
      <c r="D63" s="204"/>
      <c r="E63" s="204"/>
    </row>
    <row r="64" spans="1:5" ht="15.75" customHeight="1" x14ac:dyDescent="0.2">
      <c r="A64" s="178" t="s">
        <v>445</v>
      </c>
      <c r="B64" s="178"/>
      <c r="C64" s="178"/>
      <c r="D64" s="178"/>
      <c r="E64" s="178"/>
    </row>
    <row r="65" spans="1:5" x14ac:dyDescent="0.2">
      <c r="A65" s="60" t="s">
        <v>448</v>
      </c>
      <c r="B65" s="216" t="s">
        <v>57</v>
      </c>
      <c r="C65" s="216"/>
      <c r="D65" s="216"/>
      <c r="E65" s="51" t="s">
        <v>16</v>
      </c>
    </row>
    <row r="66" spans="1:5" x14ac:dyDescent="0.2">
      <c r="A66" s="33" t="s">
        <v>1</v>
      </c>
      <c r="B66" s="214" t="s">
        <v>228</v>
      </c>
      <c r="C66" s="268"/>
      <c r="D66" s="54">
        <v>2.5000000000000001E-2</v>
      </c>
      <c r="E66" s="42">
        <f>E$26*D66</f>
        <v>94.912000000000006</v>
      </c>
    </row>
    <row r="67" spans="1:5" x14ac:dyDescent="0.2">
      <c r="A67" s="33" t="s">
        <v>3</v>
      </c>
      <c r="B67" s="221" t="s">
        <v>255</v>
      </c>
      <c r="C67" s="222"/>
      <c r="D67" s="54">
        <v>2E-3</v>
      </c>
      <c r="E67" s="42">
        <f t="shared" ref="E67:E71" si="3">E$26*D67</f>
        <v>7.5929600000000006</v>
      </c>
    </row>
    <row r="68" spans="1:5" x14ac:dyDescent="0.2">
      <c r="A68" s="33" t="s">
        <v>6</v>
      </c>
      <c r="B68" s="221" t="s">
        <v>256</v>
      </c>
      <c r="C68" s="222"/>
      <c r="D68" s="54">
        <v>3.2099999999999997E-2</v>
      </c>
      <c r="E68" s="42">
        <f t="shared" si="3"/>
        <v>121.86700799999998</v>
      </c>
    </row>
    <row r="69" spans="1:5" x14ac:dyDescent="0.2">
      <c r="A69" s="33" t="s">
        <v>8</v>
      </c>
      <c r="B69" s="221" t="s">
        <v>229</v>
      </c>
      <c r="C69" s="222"/>
      <c r="D69" s="54">
        <v>1.9400000000000001E-2</v>
      </c>
      <c r="E69" s="42">
        <f t="shared" si="3"/>
        <v>73.651712000000003</v>
      </c>
    </row>
    <row r="70" spans="1:5" x14ac:dyDescent="0.2">
      <c r="A70" s="33" t="s">
        <v>20</v>
      </c>
      <c r="B70" s="214" t="s">
        <v>420</v>
      </c>
      <c r="C70" s="268"/>
      <c r="D70" s="54">
        <v>2.9681999999999998E-3</v>
      </c>
      <c r="E70" s="42">
        <f t="shared" si="3"/>
        <v>11.268711935999999</v>
      </c>
    </row>
    <row r="71" spans="1:5" x14ac:dyDescent="0.2">
      <c r="A71" s="33" t="s">
        <v>22</v>
      </c>
      <c r="B71" s="214" t="s">
        <v>257</v>
      </c>
      <c r="C71" s="268"/>
      <c r="D71" s="54">
        <v>8.6999999999999994E-3</v>
      </c>
      <c r="E71" s="42">
        <f t="shared" si="3"/>
        <v>33.029375999999999</v>
      </c>
    </row>
    <row r="72" spans="1:5" x14ac:dyDescent="0.2">
      <c r="A72" s="269" t="s">
        <v>446</v>
      </c>
      <c r="B72" s="269"/>
      <c r="C72" s="269"/>
      <c r="D72" s="269"/>
      <c r="E72" s="43">
        <f t="shared" ref="E72" si="4">SUM(E66:E71)</f>
        <v>342.32176793600001</v>
      </c>
    </row>
    <row r="73" spans="1:5" x14ac:dyDescent="0.25">
      <c r="A73" s="186"/>
      <c r="B73" s="186"/>
      <c r="C73" s="186"/>
      <c r="D73" s="186"/>
      <c r="E73" s="186"/>
    </row>
    <row r="74" spans="1:5" ht="21.75" customHeight="1" x14ac:dyDescent="0.2">
      <c r="A74" s="189" t="s">
        <v>447</v>
      </c>
      <c r="B74" s="190"/>
      <c r="C74" s="190"/>
      <c r="D74" s="190"/>
      <c r="E74" s="191"/>
    </row>
    <row r="75" spans="1:5" x14ac:dyDescent="0.2">
      <c r="A75" s="50" t="s">
        <v>451</v>
      </c>
      <c r="B75" s="233" t="s">
        <v>452</v>
      </c>
      <c r="C75" s="234"/>
      <c r="D75" s="235"/>
      <c r="E75" s="72" t="s">
        <v>16</v>
      </c>
    </row>
    <row r="76" spans="1:5" x14ac:dyDescent="0.2">
      <c r="A76" s="25" t="s">
        <v>1</v>
      </c>
      <c r="B76" s="221" t="s">
        <v>236</v>
      </c>
      <c r="C76" s="221"/>
      <c r="D76" s="54">
        <v>8.3299999999999999E-2</v>
      </c>
      <c r="E76" s="42">
        <f>SUM(E$26*D76) +0.09</f>
        <v>316.33678399999997</v>
      </c>
    </row>
    <row r="77" spans="1:5" x14ac:dyDescent="0.2">
      <c r="A77" s="25" t="s">
        <v>3</v>
      </c>
      <c r="B77" s="222" t="s">
        <v>235</v>
      </c>
      <c r="C77" s="222"/>
      <c r="D77" s="54">
        <v>5.4999999999999997E-3</v>
      </c>
      <c r="E77" s="42">
        <f>SUM(E$26*D77)</f>
        <v>20.88064</v>
      </c>
    </row>
    <row r="78" spans="1:5" x14ac:dyDescent="0.2">
      <c r="A78" s="25" t="s">
        <v>6</v>
      </c>
      <c r="B78" s="222" t="s">
        <v>234</v>
      </c>
      <c r="C78" s="222"/>
      <c r="D78" s="54">
        <v>1.1000000000000001E-3</v>
      </c>
      <c r="E78" s="42">
        <f t="shared" ref="E78:E81" si="5">SUM(E$26*D78)</f>
        <v>4.1761280000000003</v>
      </c>
    </row>
    <row r="79" spans="1:5" x14ac:dyDescent="0.2">
      <c r="A79" s="25" t="s">
        <v>8</v>
      </c>
      <c r="B79" s="222" t="s">
        <v>233</v>
      </c>
      <c r="C79" s="222"/>
      <c r="D79" s="54">
        <v>4.1999999999999997E-3</v>
      </c>
      <c r="E79" s="42">
        <f t="shared" si="5"/>
        <v>15.945215999999999</v>
      </c>
    </row>
    <row r="80" spans="1:5" x14ac:dyDescent="0.2">
      <c r="A80" s="25" t="s">
        <v>20</v>
      </c>
      <c r="B80" s="222" t="s">
        <v>232</v>
      </c>
      <c r="C80" s="222"/>
      <c r="D80" s="54">
        <v>1E-3</v>
      </c>
      <c r="E80" s="42" t="s">
        <v>266</v>
      </c>
    </row>
    <row r="81" spans="1:5" x14ac:dyDescent="0.2">
      <c r="A81" s="25" t="s">
        <v>22</v>
      </c>
      <c r="B81" s="221" t="s">
        <v>231</v>
      </c>
      <c r="C81" s="222"/>
      <c r="D81" s="54">
        <v>1.66E-2</v>
      </c>
      <c r="E81" s="42">
        <f t="shared" si="5"/>
        <v>63.021568000000002</v>
      </c>
    </row>
    <row r="82" spans="1:5" x14ac:dyDescent="0.2">
      <c r="A82" s="211" t="s">
        <v>476</v>
      </c>
      <c r="B82" s="212"/>
      <c r="C82" s="212"/>
      <c r="D82" s="213"/>
      <c r="E82" s="61">
        <f>SUM(E76:E81)-0.01</f>
        <v>420.35033599999997</v>
      </c>
    </row>
    <row r="83" spans="1:5" x14ac:dyDescent="0.25">
      <c r="A83" s="267"/>
      <c r="B83" s="267"/>
      <c r="C83" s="267"/>
      <c r="D83" s="267"/>
      <c r="E83" s="267"/>
    </row>
    <row r="84" spans="1:5" ht="15.75" customHeight="1" x14ac:dyDescent="0.2">
      <c r="A84" s="189" t="s">
        <v>462</v>
      </c>
      <c r="B84" s="190"/>
      <c r="C84" s="190"/>
      <c r="D84" s="190"/>
      <c r="E84" s="191"/>
    </row>
    <row r="85" spans="1:5" x14ac:dyDescent="0.2">
      <c r="A85" s="60" t="s">
        <v>453</v>
      </c>
      <c r="B85" s="216" t="s">
        <v>30</v>
      </c>
      <c r="C85" s="216"/>
      <c r="D85" s="274" t="s">
        <v>16</v>
      </c>
      <c r="E85" s="275"/>
    </row>
    <row r="86" spans="1:5" x14ac:dyDescent="0.2">
      <c r="A86" s="38" t="s">
        <v>1</v>
      </c>
      <c r="B86" s="177" t="s">
        <v>31</v>
      </c>
      <c r="C86" s="177"/>
      <c r="D86" s="208">
        <f>UNIFORMES!O9</f>
        <v>55.400833333333338</v>
      </c>
      <c r="E86" s="208"/>
    </row>
    <row r="87" spans="1:5" x14ac:dyDescent="0.2">
      <c r="A87" s="38" t="s">
        <v>3</v>
      </c>
      <c r="B87" s="207" t="s">
        <v>456</v>
      </c>
      <c r="C87" s="207"/>
      <c r="D87" s="208" t="s">
        <v>266</v>
      </c>
      <c r="E87" s="208"/>
    </row>
    <row r="88" spans="1:5" ht="53.25" customHeight="1" x14ac:dyDescent="0.2">
      <c r="A88" s="35" t="s">
        <v>6</v>
      </c>
      <c r="B88" s="207" t="s">
        <v>454</v>
      </c>
      <c r="C88" s="207"/>
      <c r="D88" s="223">
        <f>FERRAMENTAS!AB77</f>
        <v>44.853365079365076</v>
      </c>
      <c r="E88" s="223"/>
    </row>
    <row r="89" spans="1:5" ht="15.75" customHeight="1" x14ac:dyDescent="0.2">
      <c r="A89" s="38" t="s">
        <v>8</v>
      </c>
      <c r="B89" s="177" t="s">
        <v>459</v>
      </c>
      <c r="C89" s="177"/>
      <c r="D89" s="273">
        <f>EPI!O31</f>
        <v>47.272192460317463</v>
      </c>
      <c r="E89" s="273"/>
    </row>
    <row r="90" spans="1:5" x14ac:dyDescent="0.2">
      <c r="A90" s="211" t="s">
        <v>455</v>
      </c>
      <c r="B90" s="212"/>
      <c r="C90" s="213"/>
      <c r="D90" s="279">
        <f>SUM(D86:D89)</f>
        <v>147.52639087301588</v>
      </c>
      <c r="E90" s="279"/>
    </row>
    <row r="91" spans="1:5" x14ac:dyDescent="0.25">
      <c r="A91" s="244"/>
      <c r="B91" s="245"/>
      <c r="C91" s="280"/>
      <c r="D91" s="204"/>
      <c r="E91" s="204"/>
    </row>
    <row r="92" spans="1:5" ht="24" customHeight="1" x14ac:dyDescent="0.2">
      <c r="A92" s="189" t="s">
        <v>457</v>
      </c>
      <c r="B92" s="190"/>
      <c r="C92" s="190"/>
      <c r="D92" s="190"/>
      <c r="E92" s="191"/>
    </row>
    <row r="93" spans="1:5" ht="15.75" customHeight="1" x14ac:dyDescent="0.2">
      <c r="A93" s="60" t="s">
        <v>458</v>
      </c>
      <c r="B93" s="197" t="s">
        <v>32</v>
      </c>
      <c r="C93" s="198"/>
      <c r="D93" s="199"/>
      <c r="E93" s="72" t="s">
        <v>16</v>
      </c>
    </row>
    <row r="94" spans="1:5" x14ac:dyDescent="0.2">
      <c r="A94" s="38" t="s">
        <v>1</v>
      </c>
      <c r="B94" s="187" t="s">
        <v>33</v>
      </c>
      <c r="C94" s="187"/>
      <c r="D94" s="63">
        <v>0.03</v>
      </c>
      <c r="E94" s="73">
        <f>SUM(E$108*D94)</f>
        <v>224.71460319627045</v>
      </c>
    </row>
    <row r="95" spans="1:5" x14ac:dyDescent="0.2">
      <c r="A95" s="38" t="s">
        <v>3</v>
      </c>
      <c r="B95" s="187" t="s">
        <v>230</v>
      </c>
      <c r="C95" s="187"/>
      <c r="D95" s="63">
        <v>0.08</v>
      </c>
      <c r="E95" s="73">
        <f>(E94+E$108)*D95</f>
        <v>617.21611011242283</v>
      </c>
    </row>
    <row r="96" spans="1:5" x14ac:dyDescent="0.2">
      <c r="A96" s="38" t="s">
        <v>6</v>
      </c>
      <c r="B96" s="187" t="s">
        <v>34</v>
      </c>
      <c r="C96" s="187"/>
      <c r="D96" s="62">
        <v>8.6499999999999994E-2</v>
      </c>
      <c r="E96" s="74">
        <f>D96*E110</f>
        <v>789.00372497129911</v>
      </c>
    </row>
    <row r="97" spans="1:5" x14ac:dyDescent="0.2">
      <c r="A97" s="204"/>
      <c r="B97" s="187" t="s">
        <v>427</v>
      </c>
      <c r="C97" s="187"/>
      <c r="D97" s="63">
        <v>3.6499999999999998E-2</v>
      </c>
      <c r="E97" s="74">
        <f>E110*D97</f>
        <v>332.93220764684872</v>
      </c>
    </row>
    <row r="98" spans="1:5" x14ac:dyDescent="0.2">
      <c r="A98" s="204"/>
      <c r="B98" s="187" t="s">
        <v>412</v>
      </c>
      <c r="C98" s="187"/>
      <c r="D98" s="63">
        <v>0.05</v>
      </c>
      <c r="E98" s="74">
        <f>E110*D98</f>
        <v>456.07151732445038</v>
      </c>
    </row>
    <row r="99" spans="1:5" x14ac:dyDescent="0.2">
      <c r="A99" s="204"/>
      <c r="B99" s="211" t="s">
        <v>461</v>
      </c>
      <c r="C99" s="212"/>
      <c r="D99" s="213"/>
      <c r="E99" s="66">
        <f>SUM(E94:E98)+0.01</f>
        <v>2419.9481632512916</v>
      </c>
    </row>
    <row r="100" spans="1:5" x14ac:dyDescent="0.25">
      <c r="A100" s="206"/>
      <c r="B100" s="206"/>
      <c r="C100" s="206"/>
      <c r="D100" s="196"/>
      <c r="E100" s="281"/>
    </row>
    <row r="101" spans="1:5" ht="30" customHeight="1" x14ac:dyDescent="0.2">
      <c r="A101" s="178" t="s">
        <v>460</v>
      </c>
      <c r="B101" s="178"/>
      <c r="C101" s="178"/>
      <c r="D101" s="178"/>
      <c r="E101" s="178"/>
    </row>
    <row r="102" spans="1:5" ht="15.75" customHeight="1" x14ac:dyDescent="0.2">
      <c r="A102" s="197" t="s">
        <v>35</v>
      </c>
      <c r="B102" s="198"/>
      <c r="C102" s="198"/>
      <c r="D102" s="199"/>
      <c r="E102" s="71" t="s">
        <v>36</v>
      </c>
    </row>
    <row r="103" spans="1:5" x14ac:dyDescent="0.2">
      <c r="A103" s="23" t="s">
        <v>1</v>
      </c>
      <c r="B103" s="282" t="s">
        <v>413</v>
      </c>
      <c r="C103" s="283"/>
      <c r="D103" s="284"/>
      <c r="E103" s="64">
        <f>E26</f>
        <v>3796.48</v>
      </c>
    </row>
    <row r="104" spans="1:5" ht="15.75" customHeight="1" x14ac:dyDescent="0.2">
      <c r="A104" s="23" t="s">
        <v>3</v>
      </c>
      <c r="B104" s="282" t="s">
        <v>414</v>
      </c>
      <c r="C104" s="283"/>
      <c r="D104" s="284"/>
      <c r="E104" s="64">
        <f>D62</f>
        <v>2783.7982784000001</v>
      </c>
    </row>
    <row r="105" spans="1:5" x14ac:dyDescent="0.2">
      <c r="A105" s="23" t="s">
        <v>6</v>
      </c>
      <c r="B105" s="270" t="s">
        <v>415</v>
      </c>
      <c r="C105" s="271"/>
      <c r="D105" s="272"/>
      <c r="E105" s="64">
        <f>E72</f>
        <v>342.32176793600001</v>
      </c>
    </row>
    <row r="106" spans="1:5" x14ac:dyDescent="0.2">
      <c r="A106" s="23" t="s">
        <v>8</v>
      </c>
      <c r="B106" s="270" t="s">
        <v>416</v>
      </c>
      <c r="C106" s="271"/>
      <c r="D106" s="272"/>
      <c r="E106" s="64">
        <f>E82</f>
        <v>420.35033599999997</v>
      </c>
    </row>
    <row r="107" spans="1:5" x14ac:dyDescent="0.2">
      <c r="A107" s="23" t="s">
        <v>20</v>
      </c>
      <c r="B107" s="270" t="s">
        <v>417</v>
      </c>
      <c r="C107" s="271"/>
      <c r="D107" s="272"/>
      <c r="E107" s="64">
        <f>D90</f>
        <v>147.52639087301588</v>
      </c>
    </row>
    <row r="108" spans="1:5" x14ac:dyDescent="0.25">
      <c r="A108" s="28"/>
      <c r="B108" s="276" t="s">
        <v>85</v>
      </c>
      <c r="C108" s="277"/>
      <c r="D108" s="278"/>
      <c r="E108" s="65">
        <f>SUM(E103:E107)+0.01</f>
        <v>7490.4867732090152</v>
      </c>
    </row>
    <row r="109" spans="1:5" x14ac:dyDescent="0.2">
      <c r="A109" s="23" t="s">
        <v>22</v>
      </c>
      <c r="B109" s="270" t="s">
        <v>418</v>
      </c>
      <c r="C109" s="271"/>
      <c r="D109" s="272"/>
      <c r="E109" s="64">
        <f>E99</f>
        <v>2419.9481632512916</v>
      </c>
    </row>
    <row r="110" spans="1:5" ht="29.25" customHeight="1" x14ac:dyDescent="0.2">
      <c r="A110" s="269" t="s">
        <v>37</v>
      </c>
      <c r="B110" s="269"/>
      <c r="C110" s="269"/>
      <c r="D110" s="269"/>
      <c r="E110" s="67">
        <f>(E94+E95+E108)/(1-D96)+0.01</f>
        <v>9121.4303464890072</v>
      </c>
    </row>
    <row r="111" spans="1:5" x14ac:dyDescent="0.2">
      <c r="D111" s="30"/>
      <c r="E111" s="30"/>
    </row>
  </sheetData>
  <mergeCells count="146">
    <mergeCell ref="B5:C5"/>
    <mergeCell ref="D5:E5"/>
    <mergeCell ref="B6:C6"/>
    <mergeCell ref="B14:C14"/>
    <mergeCell ref="D14:E14"/>
    <mergeCell ref="D6:E6"/>
    <mergeCell ref="B24:C24"/>
    <mergeCell ref="B3:C3"/>
    <mergeCell ref="D3:E3"/>
    <mergeCell ref="B4:C4"/>
    <mergeCell ref="D4:E4"/>
    <mergeCell ref="D7:E7"/>
    <mergeCell ref="D8:E8"/>
    <mergeCell ref="A9:C9"/>
    <mergeCell ref="D9:E9"/>
    <mergeCell ref="B12:C12"/>
    <mergeCell ref="D12:E12"/>
    <mergeCell ref="A29:D29"/>
    <mergeCell ref="A34:E34"/>
    <mergeCell ref="A35:E35"/>
    <mergeCell ref="A36:D36"/>
    <mergeCell ref="B44:C44"/>
    <mergeCell ref="A33:D33"/>
    <mergeCell ref="A46:D46"/>
    <mergeCell ref="A47:E47"/>
    <mergeCell ref="B13:C13"/>
    <mergeCell ref="D13:E13"/>
    <mergeCell ref="B52:C52"/>
    <mergeCell ref="D52:E52"/>
    <mergeCell ref="B53:C53"/>
    <mergeCell ref="D53:E53"/>
    <mergeCell ref="D48:E48"/>
    <mergeCell ref="B49:C49"/>
    <mergeCell ref="D49:E49"/>
    <mergeCell ref="B50:C50"/>
    <mergeCell ref="D50:E50"/>
    <mergeCell ref="A48:C48"/>
    <mergeCell ref="B51:C51"/>
    <mergeCell ref="D51:E51"/>
    <mergeCell ref="B58:C58"/>
    <mergeCell ref="D58:E58"/>
    <mergeCell ref="B59:C59"/>
    <mergeCell ref="D59:E59"/>
    <mergeCell ref="B60:C60"/>
    <mergeCell ref="D60:E60"/>
    <mergeCell ref="B54:C54"/>
    <mergeCell ref="D54:E54"/>
    <mergeCell ref="D55:E55"/>
    <mergeCell ref="A56:C56"/>
    <mergeCell ref="D56:E56"/>
    <mergeCell ref="A55:C55"/>
    <mergeCell ref="A57:E57"/>
    <mergeCell ref="B68:C68"/>
    <mergeCell ref="B69:C69"/>
    <mergeCell ref="B70:C70"/>
    <mergeCell ref="B61:C61"/>
    <mergeCell ref="D61:E61"/>
    <mergeCell ref="D62:E62"/>
    <mergeCell ref="A63:C63"/>
    <mergeCell ref="D63:E63"/>
    <mergeCell ref="A62:C62"/>
    <mergeCell ref="A64:E64"/>
    <mergeCell ref="B65:D65"/>
    <mergeCell ref="B108:D108"/>
    <mergeCell ref="B109:D109"/>
    <mergeCell ref="A110:D110"/>
    <mergeCell ref="A97:A99"/>
    <mergeCell ref="B97:C97"/>
    <mergeCell ref="B98:C98"/>
    <mergeCell ref="D90:E90"/>
    <mergeCell ref="B94:C94"/>
    <mergeCell ref="A91:C91"/>
    <mergeCell ref="D91:E91"/>
    <mergeCell ref="B95:C95"/>
    <mergeCell ref="B96:C96"/>
    <mergeCell ref="A90:C90"/>
    <mergeCell ref="A92:E92"/>
    <mergeCell ref="B93:D93"/>
    <mergeCell ref="B99:D99"/>
    <mergeCell ref="A100:C100"/>
    <mergeCell ref="D100:E100"/>
    <mergeCell ref="A101:E101"/>
    <mergeCell ref="A102:D102"/>
    <mergeCell ref="B103:D103"/>
    <mergeCell ref="B104:D104"/>
    <mergeCell ref="B105:D105"/>
    <mergeCell ref="B106:D106"/>
    <mergeCell ref="B107:D107"/>
    <mergeCell ref="B88:C88"/>
    <mergeCell ref="D88:E88"/>
    <mergeCell ref="B89:C89"/>
    <mergeCell ref="D89:E89"/>
    <mergeCell ref="B85:C85"/>
    <mergeCell ref="D85:E85"/>
    <mergeCell ref="B86:C86"/>
    <mergeCell ref="D86:E86"/>
    <mergeCell ref="B87:C87"/>
    <mergeCell ref="D87:E87"/>
    <mergeCell ref="A83:E83"/>
    <mergeCell ref="A84:E84"/>
    <mergeCell ref="A1:E1"/>
    <mergeCell ref="B7:C7"/>
    <mergeCell ref="B8:C8"/>
    <mergeCell ref="A10:E10"/>
    <mergeCell ref="A11:E11"/>
    <mergeCell ref="A17:E17"/>
    <mergeCell ref="A18:E18"/>
    <mergeCell ref="B19:D19"/>
    <mergeCell ref="B76:C76"/>
    <mergeCell ref="B77:C77"/>
    <mergeCell ref="B78:C78"/>
    <mergeCell ref="B79:C79"/>
    <mergeCell ref="B80:C80"/>
    <mergeCell ref="B81:C81"/>
    <mergeCell ref="B75:D75"/>
    <mergeCell ref="A82:D82"/>
    <mergeCell ref="B71:C71"/>
    <mergeCell ref="A72:D72"/>
    <mergeCell ref="A73:E73"/>
    <mergeCell ref="A74:E74"/>
    <mergeCell ref="B66:C66"/>
    <mergeCell ref="B67:C67"/>
    <mergeCell ref="A2:E2"/>
    <mergeCell ref="B41:C41"/>
    <mergeCell ref="B42:C42"/>
    <mergeCell ref="B43:C43"/>
    <mergeCell ref="B45:C45"/>
    <mergeCell ref="B37:C37"/>
    <mergeCell ref="B38:C38"/>
    <mergeCell ref="B39:C39"/>
    <mergeCell ref="B40:C40"/>
    <mergeCell ref="B20:C20"/>
    <mergeCell ref="B21:C21"/>
    <mergeCell ref="B22:C22"/>
    <mergeCell ref="B30:C30"/>
    <mergeCell ref="B31:C31"/>
    <mergeCell ref="B32:C32"/>
    <mergeCell ref="B23:C23"/>
    <mergeCell ref="B25:C25"/>
    <mergeCell ref="A26:D26"/>
    <mergeCell ref="A27:E27"/>
    <mergeCell ref="A28:E28"/>
    <mergeCell ref="B15:C15"/>
    <mergeCell ref="D15:E15"/>
    <mergeCell ref="B16:C16"/>
    <mergeCell ref="D16:E16"/>
  </mergeCells>
  <printOptions horizontalCentered="1"/>
  <pageMargins left="0.31496062992125984" right="0.31496062992125984" top="1.3779527559055118" bottom="0.59055118110236227" header="0.31496062992125984" footer="0.31496062992125984"/>
  <pageSetup paperSize="9" scale="85" orientation="portrait" r:id="rId1"/>
  <headerFooter>
    <oddHeader>&amp;C&amp;G</oddHeader>
  </headerFooter>
  <rowBreaks count="2" manualBreakCount="2">
    <brk id="37" max="6" man="1"/>
    <brk id="83" max="16383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E111"/>
  <sheetViews>
    <sheetView topLeftCell="A13" zoomScaleNormal="90" zoomScaleSheetLayoutView="130" workbookViewId="0">
      <selection activeCell="A34" sqref="A34:E34"/>
    </sheetView>
  </sheetViews>
  <sheetFormatPr defaultRowHeight="15.75" x14ac:dyDescent="0.2"/>
  <cols>
    <col min="1" max="1" width="5.1640625" style="22" customWidth="1"/>
    <col min="2" max="2" width="50.1640625" style="22" customWidth="1"/>
    <col min="3" max="3" width="30.83203125" style="22" customWidth="1"/>
    <col min="4" max="4" width="32" style="31" customWidth="1"/>
    <col min="5" max="5" width="31.83203125" style="32" customWidth="1"/>
    <col min="6" max="16384" width="9.33203125" style="22"/>
  </cols>
  <sheetData>
    <row r="1" spans="1:5" x14ac:dyDescent="0.2">
      <c r="A1" s="189" t="s">
        <v>0</v>
      </c>
      <c r="B1" s="190"/>
      <c r="C1" s="190"/>
      <c r="D1" s="190"/>
      <c r="E1" s="190"/>
    </row>
    <row r="2" spans="1:5" ht="31.5" customHeight="1" x14ac:dyDescent="0.2">
      <c r="A2" s="189" t="s">
        <v>419</v>
      </c>
      <c r="B2" s="190"/>
      <c r="C2" s="190"/>
      <c r="D2" s="190"/>
      <c r="E2" s="190"/>
    </row>
    <row r="3" spans="1:5" ht="12.75" customHeight="1" x14ac:dyDescent="0.2">
      <c r="A3" s="33" t="s">
        <v>1</v>
      </c>
      <c r="B3" s="221" t="s">
        <v>2</v>
      </c>
      <c r="C3" s="221"/>
      <c r="D3" s="237"/>
      <c r="E3" s="237"/>
    </row>
    <row r="4" spans="1:5" x14ac:dyDescent="0.2">
      <c r="A4" s="33" t="s">
        <v>3</v>
      </c>
      <c r="B4" s="221" t="s">
        <v>4</v>
      </c>
      <c r="C4" s="221"/>
      <c r="D4" s="177" t="s">
        <v>5</v>
      </c>
      <c r="E4" s="177"/>
    </row>
    <row r="5" spans="1:5" x14ac:dyDescent="0.2">
      <c r="A5" s="33" t="s">
        <v>6</v>
      </c>
      <c r="B5" s="221" t="s">
        <v>7</v>
      </c>
      <c r="C5" s="221"/>
      <c r="D5" s="177" t="s">
        <v>468</v>
      </c>
      <c r="E5" s="177"/>
    </row>
    <row r="6" spans="1:5" x14ac:dyDescent="0.2">
      <c r="A6" s="33" t="s">
        <v>8</v>
      </c>
      <c r="B6" s="221" t="s">
        <v>9</v>
      </c>
      <c r="C6" s="221"/>
      <c r="D6" s="236">
        <v>36</v>
      </c>
      <c r="E6" s="236"/>
    </row>
    <row r="7" spans="1:5" s="68" customFormat="1" x14ac:dyDescent="0.2">
      <c r="A7" s="33" t="s">
        <v>20</v>
      </c>
      <c r="B7" s="221" t="s">
        <v>10</v>
      </c>
      <c r="C7" s="221"/>
      <c r="D7" s="177" t="s">
        <v>437</v>
      </c>
      <c r="E7" s="177"/>
    </row>
    <row r="8" spans="1:5" s="68" customFormat="1" x14ac:dyDescent="0.2">
      <c r="A8" s="33" t="s">
        <v>22</v>
      </c>
      <c r="B8" s="221" t="s">
        <v>11</v>
      </c>
      <c r="C8" s="221"/>
      <c r="D8" s="252" t="s">
        <v>428</v>
      </c>
      <c r="E8" s="253"/>
    </row>
    <row r="9" spans="1:5" s="68" customFormat="1" x14ac:dyDescent="0.2">
      <c r="A9" s="241"/>
      <c r="B9" s="242"/>
      <c r="C9" s="242"/>
      <c r="D9" s="242"/>
      <c r="E9" s="243"/>
    </row>
    <row r="10" spans="1:5" ht="21" customHeight="1" x14ac:dyDescent="0.2">
      <c r="A10" s="189" t="s">
        <v>429</v>
      </c>
      <c r="B10" s="190"/>
      <c r="C10" s="190"/>
      <c r="D10" s="190"/>
      <c r="E10" s="191"/>
    </row>
    <row r="11" spans="1:5" ht="23.25" customHeight="1" x14ac:dyDescent="0.2">
      <c r="A11" s="189" t="s">
        <v>430</v>
      </c>
      <c r="B11" s="190"/>
      <c r="C11" s="190"/>
      <c r="D11" s="190"/>
      <c r="E11" s="191"/>
    </row>
    <row r="12" spans="1:5" x14ac:dyDescent="0.2">
      <c r="A12" s="69">
        <v>1</v>
      </c>
      <c r="B12" s="256" t="s">
        <v>431</v>
      </c>
      <c r="C12" s="257"/>
      <c r="D12" s="177" t="s">
        <v>473</v>
      </c>
      <c r="E12" s="177"/>
    </row>
    <row r="13" spans="1:5" x14ac:dyDescent="0.2">
      <c r="A13" s="69">
        <v>2</v>
      </c>
      <c r="B13" s="256" t="s">
        <v>12</v>
      </c>
      <c r="C13" s="257"/>
      <c r="D13" s="177" t="s">
        <v>269</v>
      </c>
      <c r="E13" s="177"/>
    </row>
    <row r="14" spans="1:5" x14ac:dyDescent="0.2">
      <c r="A14" s="69">
        <v>3</v>
      </c>
      <c r="B14" s="256" t="s">
        <v>432</v>
      </c>
      <c r="C14" s="257"/>
      <c r="D14" s="291">
        <v>3481.39</v>
      </c>
      <c r="E14" s="291"/>
    </row>
    <row r="15" spans="1:5" x14ac:dyDescent="0.2">
      <c r="A15" s="69">
        <v>4</v>
      </c>
      <c r="B15" s="256" t="s">
        <v>13</v>
      </c>
      <c r="C15" s="257"/>
      <c r="D15" s="177" t="s">
        <v>469</v>
      </c>
      <c r="E15" s="177"/>
    </row>
    <row r="16" spans="1:5" s="27" customFormat="1" x14ac:dyDescent="0.2">
      <c r="A16" s="69">
        <v>5</v>
      </c>
      <c r="B16" s="256" t="s">
        <v>433</v>
      </c>
      <c r="C16" s="257"/>
      <c r="D16" s="177" t="s">
        <v>424</v>
      </c>
      <c r="E16" s="177"/>
    </row>
    <row r="17" spans="1:5" x14ac:dyDescent="0.25">
      <c r="A17" s="204"/>
      <c r="B17" s="204"/>
      <c r="C17" s="204"/>
      <c r="D17" s="204"/>
      <c r="E17" s="204"/>
    </row>
    <row r="18" spans="1:5" ht="26.25" customHeight="1" x14ac:dyDescent="0.2">
      <c r="A18" s="189" t="s">
        <v>435</v>
      </c>
      <c r="B18" s="190"/>
      <c r="C18" s="190"/>
      <c r="D18" s="190"/>
      <c r="E18" s="191"/>
    </row>
    <row r="19" spans="1:5" x14ac:dyDescent="0.2">
      <c r="A19" s="44" t="s">
        <v>450</v>
      </c>
      <c r="B19" s="249" t="s">
        <v>14</v>
      </c>
      <c r="C19" s="250"/>
      <c r="D19" s="251"/>
      <c r="E19" s="47" t="s">
        <v>16</v>
      </c>
    </row>
    <row r="20" spans="1:5" x14ac:dyDescent="0.2">
      <c r="A20" s="38" t="s">
        <v>1</v>
      </c>
      <c r="B20" s="298" t="s">
        <v>59</v>
      </c>
      <c r="C20" s="298"/>
      <c r="D20" s="39">
        <v>1</v>
      </c>
      <c r="E20" s="40">
        <v>3481.39</v>
      </c>
    </row>
    <row r="21" spans="1:5" x14ac:dyDescent="0.2">
      <c r="A21" s="38" t="s">
        <v>3</v>
      </c>
      <c r="B21" s="187" t="s">
        <v>17</v>
      </c>
      <c r="C21" s="187"/>
      <c r="D21" s="41">
        <v>0</v>
      </c>
      <c r="E21" s="42" t="s">
        <v>266</v>
      </c>
    </row>
    <row r="22" spans="1:5" x14ac:dyDescent="0.2">
      <c r="A22" s="38" t="s">
        <v>6</v>
      </c>
      <c r="B22" s="187" t="s">
        <v>18</v>
      </c>
      <c r="C22" s="187"/>
      <c r="D22" s="41">
        <v>0</v>
      </c>
      <c r="E22" s="42" t="s">
        <v>266</v>
      </c>
    </row>
    <row r="23" spans="1:5" x14ac:dyDescent="0.2">
      <c r="A23" s="38" t="s">
        <v>8</v>
      </c>
      <c r="B23" s="187" t="s">
        <v>19</v>
      </c>
      <c r="C23" s="187"/>
      <c r="D23" s="41">
        <v>0</v>
      </c>
      <c r="E23" s="42" t="s">
        <v>266</v>
      </c>
    </row>
    <row r="24" spans="1:5" x14ac:dyDescent="0.2">
      <c r="A24" s="38" t="s">
        <v>20</v>
      </c>
      <c r="B24" s="187" t="s">
        <v>21</v>
      </c>
      <c r="C24" s="187"/>
      <c r="D24" s="41">
        <v>0</v>
      </c>
      <c r="E24" s="42" t="s">
        <v>266</v>
      </c>
    </row>
    <row r="25" spans="1:5" x14ac:dyDescent="0.2">
      <c r="A25" s="38" t="s">
        <v>22</v>
      </c>
      <c r="B25" s="187" t="s">
        <v>23</v>
      </c>
      <c r="C25" s="187"/>
      <c r="D25" s="41">
        <v>0</v>
      </c>
      <c r="E25" s="42" t="s">
        <v>266</v>
      </c>
    </row>
    <row r="26" spans="1:5" x14ac:dyDescent="0.2">
      <c r="A26" s="211" t="s">
        <v>440</v>
      </c>
      <c r="B26" s="212"/>
      <c r="C26" s="212"/>
      <c r="D26" s="213"/>
      <c r="E26" s="43">
        <f t="shared" ref="E26" si="0">SUM(E20:E25)</f>
        <v>3481.39</v>
      </c>
    </row>
    <row r="27" spans="1:5" x14ac:dyDescent="0.25">
      <c r="A27" s="201"/>
      <c r="B27" s="202"/>
      <c r="C27" s="203"/>
      <c r="D27" s="204"/>
      <c r="E27" s="204"/>
    </row>
    <row r="28" spans="1:5" ht="20.25" customHeight="1" x14ac:dyDescent="0.2">
      <c r="A28" s="189" t="s">
        <v>439</v>
      </c>
      <c r="B28" s="190"/>
      <c r="C28" s="190"/>
      <c r="D28" s="190"/>
      <c r="E28" s="191"/>
    </row>
    <row r="29" spans="1:5" ht="20.25" customHeight="1" x14ac:dyDescent="0.2">
      <c r="A29" s="233" t="s">
        <v>24</v>
      </c>
      <c r="B29" s="234"/>
      <c r="C29" s="234"/>
      <c r="D29" s="235"/>
      <c r="E29" s="51" t="s">
        <v>16</v>
      </c>
    </row>
    <row r="30" spans="1:5" x14ac:dyDescent="0.2">
      <c r="A30" s="38" t="s">
        <v>1</v>
      </c>
      <c r="B30" s="177" t="s">
        <v>27</v>
      </c>
      <c r="C30" s="177"/>
      <c r="D30" s="54">
        <v>8.3299999999999999E-2</v>
      </c>
      <c r="E30" s="42">
        <f>E26*D30</f>
        <v>289.99978699999997</v>
      </c>
    </row>
    <row r="31" spans="1:5" x14ac:dyDescent="0.2">
      <c r="A31" s="38" t="s">
        <v>3</v>
      </c>
      <c r="B31" s="177" t="s">
        <v>423</v>
      </c>
      <c r="C31" s="177"/>
      <c r="D31" s="54">
        <v>8.3299999999999999E-2</v>
      </c>
      <c r="E31" s="42">
        <f>E26*D31 - 0.04</f>
        <v>289.95978699999995</v>
      </c>
    </row>
    <row r="32" spans="1:5" x14ac:dyDescent="0.2">
      <c r="A32" s="23" t="s">
        <v>6</v>
      </c>
      <c r="B32" s="221" t="s">
        <v>238</v>
      </c>
      <c r="C32" s="221"/>
      <c r="D32" s="54">
        <v>2.7799999999999998E-2</v>
      </c>
      <c r="E32" s="42">
        <f>E26*D32-0.07</f>
        <v>96.712642000000002</v>
      </c>
    </row>
    <row r="33" spans="1:5" x14ac:dyDescent="0.2">
      <c r="A33" s="238" t="s">
        <v>441</v>
      </c>
      <c r="B33" s="239"/>
      <c r="C33" s="239"/>
      <c r="D33" s="240"/>
      <c r="E33" s="70">
        <f>SUM(E30:E32)</f>
        <v>676.67221599999993</v>
      </c>
    </row>
    <row r="34" spans="1:5" ht="33" customHeight="1" x14ac:dyDescent="0.2">
      <c r="A34" s="227" t="s">
        <v>474</v>
      </c>
      <c r="B34" s="228"/>
      <c r="C34" s="228"/>
      <c r="D34" s="228"/>
      <c r="E34" s="229"/>
    </row>
    <row r="35" spans="1:5" x14ac:dyDescent="0.2">
      <c r="A35" s="296"/>
      <c r="B35" s="296"/>
      <c r="C35" s="296"/>
      <c r="D35" s="296"/>
      <c r="E35" s="296"/>
    </row>
    <row r="36" spans="1:5" ht="39" customHeight="1" x14ac:dyDescent="0.2">
      <c r="A36" s="286" t="s">
        <v>38</v>
      </c>
      <c r="B36" s="287"/>
      <c r="C36" s="287"/>
      <c r="D36" s="288"/>
      <c r="E36" s="51" t="s">
        <v>16</v>
      </c>
    </row>
    <row r="37" spans="1:5" x14ac:dyDescent="0.2">
      <c r="A37" s="38" t="s">
        <v>1</v>
      </c>
      <c r="B37" s="177" t="s">
        <v>41</v>
      </c>
      <c r="C37" s="177"/>
      <c r="D37" s="53">
        <v>0.2</v>
      </c>
      <c r="E37" s="42">
        <f>D37*(E26+E33)</f>
        <v>831.61244320000014</v>
      </c>
    </row>
    <row r="38" spans="1:5" x14ac:dyDescent="0.2">
      <c r="A38" s="38" t="s">
        <v>3</v>
      </c>
      <c r="B38" s="187" t="s">
        <v>42</v>
      </c>
      <c r="C38" s="187"/>
      <c r="D38" s="53">
        <v>2.5000000000000001E-2</v>
      </c>
      <c r="E38" s="42">
        <f>E$26*D38</f>
        <v>87.034750000000003</v>
      </c>
    </row>
    <row r="39" spans="1:5" x14ac:dyDescent="0.2">
      <c r="A39" s="38" t="s">
        <v>6</v>
      </c>
      <c r="B39" s="187" t="s">
        <v>43</v>
      </c>
      <c r="C39" s="187"/>
      <c r="D39" s="53">
        <v>0.03</v>
      </c>
      <c r="E39" s="42">
        <f t="shared" ref="E39:E45" si="1">E$26*D39</f>
        <v>104.4417</v>
      </c>
    </row>
    <row r="40" spans="1:5" x14ac:dyDescent="0.2">
      <c r="A40" s="38" t="s">
        <v>8</v>
      </c>
      <c r="B40" s="187" t="s">
        <v>44</v>
      </c>
      <c r="C40" s="187"/>
      <c r="D40" s="53">
        <v>1.4999999999999999E-2</v>
      </c>
      <c r="E40" s="42">
        <f t="shared" si="1"/>
        <v>52.220849999999999</v>
      </c>
    </row>
    <row r="41" spans="1:5" x14ac:dyDescent="0.2">
      <c r="A41" s="38" t="s">
        <v>20</v>
      </c>
      <c r="B41" s="187" t="s">
        <v>45</v>
      </c>
      <c r="C41" s="187"/>
      <c r="D41" s="53">
        <v>0.01</v>
      </c>
      <c r="E41" s="42">
        <f t="shared" si="1"/>
        <v>34.813899999999997</v>
      </c>
    </row>
    <row r="42" spans="1:5" x14ac:dyDescent="0.2">
      <c r="A42" s="38" t="s">
        <v>22</v>
      </c>
      <c r="B42" s="187" t="s">
        <v>46</v>
      </c>
      <c r="C42" s="187"/>
      <c r="D42" s="53">
        <v>6.0000000000000001E-3</v>
      </c>
      <c r="E42" s="42">
        <f t="shared" si="1"/>
        <v>20.888339999999999</v>
      </c>
    </row>
    <row r="43" spans="1:5" x14ac:dyDescent="0.2">
      <c r="A43" s="35" t="s">
        <v>47</v>
      </c>
      <c r="B43" s="177" t="s">
        <v>258</v>
      </c>
      <c r="C43" s="177"/>
      <c r="D43" s="54">
        <v>2E-3</v>
      </c>
      <c r="E43" s="42">
        <f t="shared" si="1"/>
        <v>6.9627799999999995</v>
      </c>
    </row>
    <row r="44" spans="1:5" x14ac:dyDescent="0.2">
      <c r="A44" s="35" t="s">
        <v>48</v>
      </c>
      <c r="B44" s="289" t="s">
        <v>466</v>
      </c>
      <c r="C44" s="290"/>
      <c r="D44" s="54">
        <v>3.49E-2</v>
      </c>
      <c r="E44" s="42">
        <f t="shared" si="1"/>
        <v>121.500511</v>
      </c>
    </row>
    <row r="45" spans="1:5" x14ac:dyDescent="0.2">
      <c r="A45" s="38" t="s">
        <v>69</v>
      </c>
      <c r="B45" s="187" t="s">
        <v>49</v>
      </c>
      <c r="C45" s="187"/>
      <c r="D45" s="53">
        <v>0.08</v>
      </c>
      <c r="E45" s="42">
        <f t="shared" si="1"/>
        <v>278.51119999999997</v>
      </c>
    </row>
    <row r="46" spans="1:5" x14ac:dyDescent="0.2">
      <c r="A46" s="238" t="s">
        <v>442</v>
      </c>
      <c r="B46" s="239"/>
      <c r="C46" s="239"/>
      <c r="D46" s="240"/>
      <c r="E46" s="55">
        <f>SUM(E37:E45)</f>
        <v>1537.9864742000002</v>
      </c>
    </row>
    <row r="47" spans="1:5" x14ac:dyDescent="0.2">
      <c r="A47" s="241"/>
      <c r="B47" s="242"/>
      <c r="C47" s="242"/>
      <c r="D47" s="242"/>
      <c r="E47" s="243"/>
    </row>
    <row r="48" spans="1:5" ht="20.25" customHeight="1" x14ac:dyDescent="0.2">
      <c r="A48" s="197" t="s">
        <v>50</v>
      </c>
      <c r="B48" s="198"/>
      <c r="C48" s="199"/>
      <c r="D48" s="185" t="s">
        <v>16</v>
      </c>
      <c r="E48" s="185"/>
    </row>
    <row r="49" spans="1:5" x14ac:dyDescent="0.2">
      <c r="A49" s="35" t="s">
        <v>1</v>
      </c>
      <c r="B49" s="187" t="s">
        <v>58</v>
      </c>
      <c r="C49" s="247"/>
      <c r="D49" s="208">
        <f>((5.5)*2*22) - 6%*E26</f>
        <v>33.116600000000005</v>
      </c>
      <c r="E49" s="208"/>
    </row>
    <row r="50" spans="1:5" x14ac:dyDescent="0.2">
      <c r="A50" s="35" t="s">
        <v>3</v>
      </c>
      <c r="B50" s="177" t="s">
        <v>467</v>
      </c>
      <c r="C50" s="177"/>
      <c r="D50" s="248">
        <f>(22*44.86)</f>
        <v>986.92</v>
      </c>
      <c r="E50" s="248"/>
    </row>
    <row r="51" spans="1:5" x14ac:dyDescent="0.2">
      <c r="A51" s="35" t="s">
        <v>6</v>
      </c>
      <c r="B51" s="187" t="s">
        <v>425</v>
      </c>
      <c r="C51" s="187"/>
      <c r="D51" s="208"/>
      <c r="E51" s="208"/>
    </row>
    <row r="52" spans="1:5" x14ac:dyDescent="0.2">
      <c r="A52" s="56" t="s">
        <v>8</v>
      </c>
      <c r="B52" s="177" t="s">
        <v>53</v>
      </c>
      <c r="C52" s="177"/>
      <c r="D52" s="208"/>
      <c r="E52" s="208"/>
    </row>
    <row r="53" spans="1:5" x14ac:dyDescent="0.2">
      <c r="A53" s="35" t="s">
        <v>20</v>
      </c>
      <c r="B53" s="187" t="s">
        <v>54</v>
      </c>
      <c r="C53" s="187"/>
      <c r="D53" s="208" t="s">
        <v>266</v>
      </c>
      <c r="E53" s="208"/>
    </row>
    <row r="54" spans="1:5" x14ac:dyDescent="0.2">
      <c r="A54" s="35" t="s">
        <v>22</v>
      </c>
      <c r="B54" s="177" t="s">
        <v>237</v>
      </c>
      <c r="C54" s="200"/>
      <c r="D54" s="208"/>
      <c r="E54" s="208"/>
    </row>
    <row r="55" spans="1:5" x14ac:dyDescent="0.2">
      <c r="A55" s="238" t="s">
        <v>443</v>
      </c>
      <c r="B55" s="239"/>
      <c r="C55" s="240"/>
      <c r="D55" s="195">
        <f>SUM(D49:D54)</f>
        <v>1020.0365999999999</v>
      </c>
      <c r="E55" s="195"/>
    </row>
    <row r="56" spans="1:5" x14ac:dyDescent="0.25">
      <c r="A56" s="204"/>
      <c r="B56" s="204"/>
      <c r="C56" s="204"/>
      <c r="D56" s="204"/>
      <c r="E56" s="204"/>
    </row>
    <row r="57" spans="1:5" ht="26.25" customHeight="1" x14ac:dyDescent="0.2">
      <c r="A57" s="189" t="s">
        <v>55</v>
      </c>
      <c r="B57" s="190"/>
      <c r="C57" s="190"/>
      <c r="D57" s="190"/>
      <c r="E57" s="191"/>
    </row>
    <row r="58" spans="1:5" ht="15.75" customHeight="1" x14ac:dyDescent="0.2">
      <c r="A58" s="60" t="s">
        <v>449</v>
      </c>
      <c r="B58" s="216" t="s">
        <v>56</v>
      </c>
      <c r="C58" s="216"/>
      <c r="D58" s="274" t="s">
        <v>16</v>
      </c>
      <c r="E58" s="274"/>
    </row>
    <row r="59" spans="1:5" x14ac:dyDescent="0.2">
      <c r="A59" s="38" t="s">
        <v>25</v>
      </c>
      <c r="B59" s="187" t="s">
        <v>26</v>
      </c>
      <c r="C59" s="187"/>
      <c r="D59" s="208">
        <f>E33</f>
        <v>676.67221599999993</v>
      </c>
      <c r="E59" s="208"/>
    </row>
    <row r="60" spans="1:5" x14ac:dyDescent="0.2">
      <c r="A60" s="38" t="s">
        <v>39</v>
      </c>
      <c r="B60" s="187" t="s">
        <v>40</v>
      </c>
      <c r="C60" s="187"/>
      <c r="D60" s="208">
        <f>E46</f>
        <v>1537.9864742000002</v>
      </c>
      <c r="E60" s="208"/>
    </row>
    <row r="61" spans="1:5" x14ac:dyDescent="0.2">
      <c r="A61" s="38" t="s">
        <v>51</v>
      </c>
      <c r="B61" s="187" t="s">
        <v>52</v>
      </c>
      <c r="C61" s="187"/>
      <c r="D61" s="223">
        <f>D55</f>
        <v>1020.0365999999999</v>
      </c>
      <c r="E61" s="223"/>
    </row>
    <row r="62" spans="1:5" x14ac:dyDescent="0.2">
      <c r="A62" s="211" t="s">
        <v>444</v>
      </c>
      <c r="B62" s="212"/>
      <c r="C62" s="213"/>
      <c r="D62" s="293">
        <f>SUM(D59:D61) -0.01</f>
        <v>3234.6852901999996</v>
      </c>
      <c r="E62" s="293"/>
    </row>
    <row r="63" spans="1:5" x14ac:dyDescent="0.25">
      <c r="A63" s="201"/>
      <c r="B63" s="202"/>
      <c r="C63" s="203"/>
      <c r="D63" s="201"/>
      <c r="E63" s="202"/>
    </row>
    <row r="64" spans="1:5" ht="15.75" customHeight="1" x14ac:dyDescent="0.2">
      <c r="A64" s="178" t="s">
        <v>445</v>
      </c>
      <c r="B64" s="178"/>
      <c r="C64" s="178"/>
      <c r="D64" s="178"/>
      <c r="E64" s="178"/>
    </row>
    <row r="65" spans="1:5" x14ac:dyDescent="0.2">
      <c r="A65" s="60" t="s">
        <v>448</v>
      </c>
      <c r="B65" s="216" t="s">
        <v>57</v>
      </c>
      <c r="C65" s="216"/>
      <c r="D65" s="216"/>
      <c r="E65" s="51" t="s">
        <v>16</v>
      </c>
    </row>
    <row r="66" spans="1:5" x14ac:dyDescent="0.2">
      <c r="A66" s="37" t="s">
        <v>1</v>
      </c>
      <c r="B66" s="187" t="s">
        <v>228</v>
      </c>
      <c r="C66" s="247"/>
      <c r="D66" s="54">
        <v>2.5000000000000001E-2</v>
      </c>
      <c r="E66" s="42">
        <f>E$26*D66</f>
        <v>87.034750000000003</v>
      </c>
    </row>
    <row r="67" spans="1:5" x14ac:dyDescent="0.2">
      <c r="A67" s="37" t="s">
        <v>3</v>
      </c>
      <c r="B67" s="177" t="s">
        <v>255</v>
      </c>
      <c r="C67" s="200"/>
      <c r="D67" s="54">
        <v>2E-3</v>
      </c>
      <c r="E67" s="42">
        <f t="shared" ref="E67:E71" si="2">E$26*D67</f>
        <v>6.9627799999999995</v>
      </c>
    </row>
    <row r="68" spans="1:5" x14ac:dyDescent="0.2">
      <c r="A68" s="37" t="s">
        <v>6</v>
      </c>
      <c r="B68" s="177" t="s">
        <v>256</v>
      </c>
      <c r="C68" s="200"/>
      <c r="D68" s="54">
        <v>3.2099999999999997E-2</v>
      </c>
      <c r="E68" s="42">
        <f t="shared" si="2"/>
        <v>111.75261899999998</v>
      </c>
    </row>
    <row r="69" spans="1:5" x14ac:dyDescent="0.2">
      <c r="A69" s="37" t="s">
        <v>8</v>
      </c>
      <c r="B69" s="177" t="s">
        <v>229</v>
      </c>
      <c r="C69" s="200"/>
      <c r="D69" s="54">
        <v>1.9400000000000001E-2</v>
      </c>
      <c r="E69" s="42">
        <f t="shared" si="2"/>
        <v>67.538966000000002</v>
      </c>
    </row>
    <row r="70" spans="1:5" x14ac:dyDescent="0.2">
      <c r="A70" s="37" t="s">
        <v>20</v>
      </c>
      <c r="B70" s="187" t="s">
        <v>420</v>
      </c>
      <c r="C70" s="247"/>
      <c r="D70" s="54">
        <v>2.9681999999999998E-3</v>
      </c>
      <c r="E70" s="42">
        <f t="shared" si="2"/>
        <v>10.333461797999998</v>
      </c>
    </row>
    <row r="71" spans="1:5" x14ac:dyDescent="0.2">
      <c r="A71" s="37" t="s">
        <v>22</v>
      </c>
      <c r="B71" s="187" t="s">
        <v>257</v>
      </c>
      <c r="C71" s="247"/>
      <c r="D71" s="54">
        <v>8.6999999999999994E-3</v>
      </c>
      <c r="E71" s="42">
        <f t="shared" si="2"/>
        <v>30.288092999999996</v>
      </c>
    </row>
    <row r="72" spans="1:5" x14ac:dyDescent="0.2">
      <c r="A72" s="269" t="s">
        <v>446</v>
      </c>
      <c r="B72" s="269"/>
      <c r="C72" s="269"/>
      <c r="D72" s="269"/>
      <c r="E72" s="43">
        <f t="shared" ref="E72" si="3">SUM(E66:E71)</f>
        <v>313.91066979799996</v>
      </c>
    </row>
    <row r="73" spans="1:5" x14ac:dyDescent="0.25">
      <c r="A73" s="204"/>
      <c r="B73" s="204"/>
      <c r="C73" s="204"/>
      <c r="D73" s="281"/>
      <c r="E73" s="294"/>
    </row>
    <row r="74" spans="1:5" ht="27.75" customHeight="1" x14ac:dyDescent="0.2">
      <c r="A74" s="189" t="s">
        <v>447</v>
      </c>
      <c r="B74" s="190"/>
      <c r="C74" s="190"/>
      <c r="D74" s="190"/>
      <c r="E74" s="191"/>
    </row>
    <row r="75" spans="1:5" x14ac:dyDescent="0.2">
      <c r="A75" s="50" t="s">
        <v>451</v>
      </c>
      <c r="B75" s="233" t="s">
        <v>452</v>
      </c>
      <c r="C75" s="234"/>
      <c r="D75" s="235"/>
      <c r="E75" s="51" t="s">
        <v>16</v>
      </c>
    </row>
    <row r="76" spans="1:5" x14ac:dyDescent="0.2">
      <c r="A76" s="35" t="s">
        <v>1</v>
      </c>
      <c r="B76" s="177" t="s">
        <v>236</v>
      </c>
      <c r="C76" s="177"/>
      <c r="D76" s="54">
        <v>8.3299999999999999E-2</v>
      </c>
      <c r="E76" s="42">
        <f>SUM(E$26*D76) +0.07</f>
        <v>290.06978699999996</v>
      </c>
    </row>
    <row r="77" spans="1:5" x14ac:dyDescent="0.2">
      <c r="A77" s="35" t="s">
        <v>3</v>
      </c>
      <c r="B77" s="200" t="s">
        <v>235</v>
      </c>
      <c r="C77" s="200"/>
      <c r="D77" s="54">
        <v>5.4999999999999997E-3</v>
      </c>
      <c r="E77" s="42">
        <f>SUM(E$26*D77)</f>
        <v>19.147644999999997</v>
      </c>
    </row>
    <row r="78" spans="1:5" x14ac:dyDescent="0.2">
      <c r="A78" s="35" t="s">
        <v>6</v>
      </c>
      <c r="B78" s="200" t="s">
        <v>234</v>
      </c>
      <c r="C78" s="200"/>
      <c r="D78" s="54">
        <v>1.1000000000000001E-3</v>
      </c>
      <c r="E78" s="42">
        <f t="shared" ref="E78:E81" si="4">SUM(E$26*D78)</f>
        <v>3.829529</v>
      </c>
    </row>
    <row r="79" spans="1:5" x14ac:dyDescent="0.2">
      <c r="A79" s="35" t="s">
        <v>8</v>
      </c>
      <c r="B79" s="200" t="s">
        <v>233</v>
      </c>
      <c r="C79" s="200"/>
      <c r="D79" s="54">
        <v>4.1999999999999997E-3</v>
      </c>
      <c r="E79" s="42">
        <f t="shared" si="4"/>
        <v>14.621837999999999</v>
      </c>
    </row>
    <row r="80" spans="1:5" x14ac:dyDescent="0.2">
      <c r="A80" s="35" t="s">
        <v>20</v>
      </c>
      <c r="B80" s="200" t="s">
        <v>232</v>
      </c>
      <c r="C80" s="200"/>
      <c r="D80" s="54">
        <v>1E-3</v>
      </c>
      <c r="E80" s="42" t="s">
        <v>266</v>
      </c>
    </row>
    <row r="81" spans="1:5" x14ac:dyDescent="0.2">
      <c r="A81" s="35" t="s">
        <v>22</v>
      </c>
      <c r="B81" s="177" t="s">
        <v>231</v>
      </c>
      <c r="C81" s="200"/>
      <c r="D81" s="54">
        <v>1.66E-2</v>
      </c>
      <c r="E81" s="42">
        <f t="shared" si="4"/>
        <v>57.791074000000002</v>
      </c>
    </row>
    <row r="82" spans="1:5" x14ac:dyDescent="0.2">
      <c r="A82" s="211" t="s">
        <v>476</v>
      </c>
      <c r="B82" s="212"/>
      <c r="C82" s="212"/>
      <c r="D82" s="213"/>
      <c r="E82" s="61">
        <f t="shared" ref="E82" si="5">SUM(E76:E81)</f>
        <v>385.45987299999996</v>
      </c>
    </row>
    <row r="83" spans="1:5" x14ac:dyDescent="0.25">
      <c r="A83" s="201"/>
      <c r="B83" s="202"/>
      <c r="C83" s="203"/>
      <c r="D83" s="201"/>
      <c r="E83" s="202"/>
    </row>
    <row r="84" spans="1:5" ht="15.75" customHeight="1" x14ac:dyDescent="0.2">
      <c r="A84" s="189" t="s">
        <v>462</v>
      </c>
      <c r="B84" s="190"/>
      <c r="C84" s="190"/>
      <c r="D84" s="190"/>
      <c r="E84" s="191"/>
    </row>
    <row r="85" spans="1:5" x14ac:dyDescent="0.2">
      <c r="A85" s="60" t="s">
        <v>453</v>
      </c>
      <c r="B85" s="216" t="s">
        <v>30</v>
      </c>
      <c r="C85" s="216"/>
      <c r="D85" s="274" t="s">
        <v>16</v>
      </c>
      <c r="E85" s="274"/>
    </row>
    <row r="86" spans="1:5" x14ac:dyDescent="0.2">
      <c r="A86" s="38" t="s">
        <v>1</v>
      </c>
      <c r="B86" s="177" t="s">
        <v>31</v>
      </c>
      <c r="C86" s="177"/>
      <c r="D86" s="208">
        <f>UNIFORMES!O9</f>
        <v>55.400833333333338</v>
      </c>
      <c r="E86" s="208"/>
    </row>
    <row r="87" spans="1:5" x14ac:dyDescent="0.2">
      <c r="A87" s="38" t="s">
        <v>3</v>
      </c>
      <c r="B87" s="207" t="s">
        <v>456</v>
      </c>
      <c r="C87" s="207"/>
      <c r="D87" s="208" t="s">
        <v>266</v>
      </c>
      <c r="E87" s="208"/>
    </row>
    <row r="88" spans="1:5" ht="51.75" customHeight="1" x14ac:dyDescent="0.2">
      <c r="A88" s="35" t="s">
        <v>6</v>
      </c>
      <c r="B88" s="207" t="s">
        <v>454</v>
      </c>
      <c r="C88" s="207"/>
      <c r="D88" s="223">
        <f>FERRAMENTAS!AB77</f>
        <v>44.853365079365076</v>
      </c>
      <c r="E88" s="223"/>
    </row>
    <row r="89" spans="1:5" ht="15.75" customHeight="1" x14ac:dyDescent="0.2">
      <c r="A89" s="38" t="s">
        <v>8</v>
      </c>
      <c r="B89" s="177" t="s">
        <v>459</v>
      </c>
      <c r="C89" s="177"/>
      <c r="D89" s="273">
        <f>EPI!O31</f>
        <v>47.272192460317463</v>
      </c>
      <c r="E89" s="273"/>
    </row>
    <row r="90" spans="1:5" x14ac:dyDescent="0.2">
      <c r="A90" s="211" t="s">
        <v>455</v>
      </c>
      <c r="B90" s="212"/>
      <c r="C90" s="213"/>
      <c r="D90" s="295">
        <f>SUM(D86:D89)</f>
        <v>147.52639087301588</v>
      </c>
      <c r="E90" s="295"/>
    </row>
    <row r="91" spans="1:5" x14ac:dyDescent="0.25">
      <c r="A91" s="201"/>
      <c r="B91" s="202"/>
      <c r="C91" s="203"/>
      <c r="D91" s="204"/>
      <c r="E91" s="204"/>
    </row>
    <row r="92" spans="1:5" ht="21.75" customHeight="1" x14ac:dyDescent="0.2">
      <c r="A92" s="189" t="s">
        <v>457</v>
      </c>
      <c r="B92" s="190"/>
      <c r="C92" s="190"/>
      <c r="D92" s="190"/>
      <c r="E92" s="191"/>
    </row>
    <row r="93" spans="1:5" x14ac:dyDescent="0.2">
      <c r="A93" s="60" t="s">
        <v>458</v>
      </c>
      <c r="B93" s="197" t="s">
        <v>32</v>
      </c>
      <c r="C93" s="198"/>
      <c r="D93" s="199"/>
      <c r="E93" s="51" t="s">
        <v>16</v>
      </c>
    </row>
    <row r="94" spans="1:5" x14ac:dyDescent="0.2">
      <c r="A94" s="38" t="s">
        <v>1</v>
      </c>
      <c r="B94" s="187" t="s">
        <v>33</v>
      </c>
      <c r="C94" s="187"/>
      <c r="D94" s="63">
        <v>0.03</v>
      </c>
      <c r="E94" s="73">
        <f>SUM(E$108*D94) -0.01</f>
        <v>226.87916671613044</v>
      </c>
    </row>
    <row r="95" spans="1:5" x14ac:dyDescent="0.2">
      <c r="A95" s="38" t="s">
        <v>3</v>
      </c>
      <c r="B95" s="187" t="s">
        <v>230</v>
      </c>
      <c r="C95" s="187"/>
      <c r="D95" s="63">
        <v>0.08</v>
      </c>
      <c r="E95" s="73">
        <f>(E94+E$108)*D95</f>
        <v>623.18811124697163</v>
      </c>
    </row>
    <row r="96" spans="1:5" x14ac:dyDescent="0.2">
      <c r="A96" s="38" t="s">
        <v>6</v>
      </c>
      <c r="B96" s="187" t="s">
        <v>34</v>
      </c>
      <c r="C96" s="187"/>
      <c r="D96" s="62">
        <v>8.6499999999999994E-2</v>
      </c>
      <c r="E96" s="74">
        <f>D96*E110</f>
        <v>796.63874905708929</v>
      </c>
    </row>
    <row r="97" spans="1:5" x14ac:dyDescent="0.2">
      <c r="A97" s="204"/>
      <c r="B97" s="187" t="s">
        <v>427</v>
      </c>
      <c r="C97" s="187"/>
      <c r="D97" s="63">
        <v>3.6499999999999998E-2</v>
      </c>
      <c r="E97" s="74">
        <f>E110*D97</f>
        <v>336.15392301252899</v>
      </c>
    </row>
    <row r="98" spans="1:5" x14ac:dyDescent="0.2">
      <c r="A98" s="204"/>
      <c r="B98" s="187" t="s">
        <v>426</v>
      </c>
      <c r="C98" s="187"/>
      <c r="D98" s="63">
        <v>0.05</v>
      </c>
      <c r="E98" s="74">
        <f>E110*D98</f>
        <v>460.48482604456035</v>
      </c>
    </row>
    <row r="99" spans="1:5" ht="22.5" customHeight="1" x14ac:dyDescent="0.2">
      <c r="A99" s="204"/>
      <c r="B99" s="211" t="s">
        <v>461</v>
      </c>
      <c r="C99" s="212"/>
      <c r="D99" s="213"/>
      <c r="E99" s="66">
        <f>SUM(E94:E98)+0.01</f>
        <v>2443.3547760772808</v>
      </c>
    </row>
    <row r="100" spans="1:5" x14ac:dyDescent="0.25">
      <c r="A100" s="299"/>
      <c r="B100" s="300"/>
      <c r="C100" s="300"/>
      <c r="D100" s="300"/>
      <c r="E100" s="300"/>
    </row>
    <row r="101" spans="1:5" ht="29.25" customHeight="1" x14ac:dyDescent="0.2">
      <c r="A101" s="178" t="s">
        <v>460</v>
      </c>
      <c r="B101" s="178"/>
      <c r="C101" s="178"/>
      <c r="D101" s="178"/>
      <c r="E101" s="178"/>
    </row>
    <row r="102" spans="1:5" ht="18.75" customHeight="1" x14ac:dyDescent="0.2">
      <c r="A102" s="197" t="s">
        <v>35</v>
      </c>
      <c r="B102" s="198"/>
      <c r="C102" s="198"/>
      <c r="D102" s="199"/>
      <c r="E102" s="71" t="s">
        <v>36</v>
      </c>
    </row>
    <row r="103" spans="1:5" x14ac:dyDescent="0.2">
      <c r="A103" s="38" t="s">
        <v>1</v>
      </c>
      <c r="B103" s="297" t="s">
        <v>413</v>
      </c>
      <c r="C103" s="297"/>
      <c r="D103" s="297"/>
      <c r="E103" s="64">
        <f>E26</f>
        <v>3481.39</v>
      </c>
    </row>
    <row r="104" spans="1:5" x14ac:dyDescent="0.2">
      <c r="A104" s="38" t="s">
        <v>3</v>
      </c>
      <c r="B104" s="247" t="s">
        <v>414</v>
      </c>
      <c r="C104" s="247"/>
      <c r="D104" s="247"/>
      <c r="E104" s="64">
        <f>D62</f>
        <v>3234.6852901999996</v>
      </c>
    </row>
    <row r="105" spans="1:5" x14ac:dyDescent="0.2">
      <c r="A105" s="38" t="s">
        <v>6</v>
      </c>
      <c r="B105" s="247" t="s">
        <v>415</v>
      </c>
      <c r="C105" s="247"/>
      <c r="D105" s="247"/>
      <c r="E105" s="64">
        <f>E72</f>
        <v>313.91066979799996</v>
      </c>
    </row>
    <row r="106" spans="1:5" x14ac:dyDescent="0.2">
      <c r="A106" s="38" t="s">
        <v>8</v>
      </c>
      <c r="B106" s="247" t="s">
        <v>416</v>
      </c>
      <c r="C106" s="247"/>
      <c r="D106" s="247"/>
      <c r="E106" s="64">
        <f>E82</f>
        <v>385.45987299999996</v>
      </c>
    </row>
    <row r="107" spans="1:5" x14ac:dyDescent="0.2">
      <c r="A107" s="38" t="s">
        <v>20</v>
      </c>
      <c r="B107" s="247" t="s">
        <v>417</v>
      </c>
      <c r="C107" s="247"/>
      <c r="D107" s="247"/>
      <c r="E107" s="64">
        <f>D90</f>
        <v>147.52639087301588</v>
      </c>
    </row>
    <row r="108" spans="1:5" x14ac:dyDescent="0.25">
      <c r="A108" s="58"/>
      <c r="B108" s="241" t="s">
        <v>85</v>
      </c>
      <c r="C108" s="242"/>
      <c r="D108" s="243"/>
      <c r="E108" s="65">
        <f>SUM(E103:E107)</f>
        <v>7562.9722238710146</v>
      </c>
    </row>
    <row r="109" spans="1:5" ht="15.75" customHeight="1" x14ac:dyDescent="0.2">
      <c r="A109" s="38" t="s">
        <v>22</v>
      </c>
      <c r="B109" s="247" t="s">
        <v>418</v>
      </c>
      <c r="C109" s="247"/>
      <c r="D109" s="247"/>
      <c r="E109" s="64">
        <f>E99</f>
        <v>2443.3547760772808</v>
      </c>
    </row>
    <row r="110" spans="1:5" ht="27" customHeight="1" x14ac:dyDescent="0.2">
      <c r="A110" s="269" t="s">
        <v>37</v>
      </c>
      <c r="B110" s="269"/>
      <c r="C110" s="269"/>
      <c r="D110" s="269"/>
      <c r="E110" s="67">
        <f>(E94+E95+E108)/(1-D96)+0.02</f>
        <v>9209.6965208912061</v>
      </c>
    </row>
    <row r="111" spans="1:5" x14ac:dyDescent="0.2">
      <c r="D111" s="30"/>
      <c r="E111" s="30"/>
    </row>
  </sheetData>
  <mergeCells count="146">
    <mergeCell ref="B108:D108"/>
    <mergeCell ref="A100:E100"/>
    <mergeCell ref="A55:C55"/>
    <mergeCell ref="A17:E17"/>
    <mergeCell ref="A57:E57"/>
    <mergeCell ref="A62:C62"/>
    <mergeCell ref="A56:E56"/>
    <mergeCell ref="A64:E64"/>
    <mergeCell ref="B65:D65"/>
    <mergeCell ref="A72:D72"/>
    <mergeCell ref="A74:E74"/>
    <mergeCell ref="B23:C23"/>
    <mergeCell ref="B24:C24"/>
    <mergeCell ref="B25:C25"/>
    <mergeCell ref="B41:C41"/>
    <mergeCell ref="B42:C42"/>
    <mergeCell ref="B43:C43"/>
    <mergeCell ref="B49:C49"/>
    <mergeCell ref="B50:C50"/>
    <mergeCell ref="B45:C45"/>
    <mergeCell ref="A48:C48"/>
    <mergeCell ref="B44:C44"/>
    <mergeCell ref="A46:D46"/>
    <mergeCell ref="A47:E47"/>
    <mergeCell ref="A1:E1"/>
    <mergeCell ref="A2:E2"/>
    <mergeCell ref="A10:E10"/>
    <mergeCell ref="A11:E11"/>
    <mergeCell ref="A9:E9"/>
    <mergeCell ref="B3:C3"/>
    <mergeCell ref="B4:C4"/>
    <mergeCell ref="B7:C7"/>
    <mergeCell ref="D3:E3"/>
    <mergeCell ref="D4:E4"/>
    <mergeCell ref="B12:C12"/>
    <mergeCell ref="B13:C13"/>
    <mergeCell ref="B5:C5"/>
    <mergeCell ref="B6:C6"/>
    <mergeCell ref="B20:C20"/>
    <mergeCell ref="B21:C21"/>
    <mergeCell ref="B22:C22"/>
    <mergeCell ref="B14:C14"/>
    <mergeCell ref="B15:C15"/>
    <mergeCell ref="B16:C16"/>
    <mergeCell ref="A18:E18"/>
    <mergeCell ref="B19:D19"/>
    <mergeCell ref="D5:E5"/>
    <mergeCell ref="D6:E6"/>
    <mergeCell ref="D12:E12"/>
    <mergeCell ref="D13:E13"/>
    <mergeCell ref="D14:E14"/>
    <mergeCell ref="D15:E15"/>
    <mergeCell ref="D16:E16"/>
    <mergeCell ref="D7:E7"/>
    <mergeCell ref="B8:C8"/>
    <mergeCell ref="D8:E8"/>
    <mergeCell ref="B58:C58"/>
    <mergeCell ref="B59:C59"/>
    <mergeCell ref="B60:C60"/>
    <mergeCell ref="B54:C54"/>
    <mergeCell ref="B51:C51"/>
    <mergeCell ref="B52:C52"/>
    <mergeCell ref="B53:C53"/>
    <mergeCell ref="B30:C30"/>
    <mergeCell ref="B31:C31"/>
    <mergeCell ref="B37:C37"/>
    <mergeCell ref="B38:C38"/>
    <mergeCell ref="B39:C39"/>
    <mergeCell ref="B40:C40"/>
    <mergeCell ref="B107:D107"/>
    <mergeCell ref="A110:D110"/>
    <mergeCell ref="B109:D109"/>
    <mergeCell ref="B87:C87"/>
    <mergeCell ref="A83:C83"/>
    <mergeCell ref="B80:C80"/>
    <mergeCell ref="A102:D102"/>
    <mergeCell ref="B99:D99"/>
    <mergeCell ref="A101:E101"/>
    <mergeCell ref="B95:C95"/>
    <mergeCell ref="B96:C96"/>
    <mergeCell ref="A97:A99"/>
    <mergeCell ref="B97:C97"/>
    <mergeCell ref="B98:C98"/>
    <mergeCell ref="B103:D103"/>
    <mergeCell ref="B94:C94"/>
    <mergeCell ref="B88:C88"/>
    <mergeCell ref="B85:C85"/>
    <mergeCell ref="B86:C86"/>
    <mergeCell ref="B89:C89"/>
    <mergeCell ref="A84:E84"/>
    <mergeCell ref="A90:C90"/>
    <mergeCell ref="A92:E92"/>
    <mergeCell ref="B93:D93"/>
    <mergeCell ref="B67:C67"/>
    <mergeCell ref="B68:C68"/>
    <mergeCell ref="B69:C69"/>
    <mergeCell ref="B70:C70"/>
    <mergeCell ref="B71:C71"/>
    <mergeCell ref="A73:C73"/>
    <mergeCell ref="B104:D104"/>
    <mergeCell ref="B105:D105"/>
    <mergeCell ref="B106:D106"/>
    <mergeCell ref="D27:E27"/>
    <mergeCell ref="D48:E48"/>
    <mergeCell ref="A26:D26"/>
    <mergeCell ref="A28:E28"/>
    <mergeCell ref="A29:D29"/>
    <mergeCell ref="B32:C32"/>
    <mergeCell ref="A33:D33"/>
    <mergeCell ref="A34:E34"/>
    <mergeCell ref="A36:D36"/>
    <mergeCell ref="A35:E35"/>
    <mergeCell ref="A27:C27"/>
    <mergeCell ref="D49:E49"/>
    <mergeCell ref="D50:E50"/>
    <mergeCell ref="D51:E51"/>
    <mergeCell ref="D52:E52"/>
    <mergeCell ref="D53:E53"/>
    <mergeCell ref="D54:E54"/>
    <mergeCell ref="D55:E55"/>
    <mergeCell ref="D58:E58"/>
    <mergeCell ref="D59:E59"/>
    <mergeCell ref="D60:E60"/>
    <mergeCell ref="D61:E61"/>
    <mergeCell ref="D62:E62"/>
    <mergeCell ref="D63:E63"/>
    <mergeCell ref="D73:E73"/>
    <mergeCell ref="D88:E88"/>
    <mergeCell ref="D89:E89"/>
    <mergeCell ref="D90:E90"/>
    <mergeCell ref="D91:E91"/>
    <mergeCell ref="D83:E83"/>
    <mergeCell ref="D85:E85"/>
    <mergeCell ref="D86:E86"/>
    <mergeCell ref="D87:E87"/>
    <mergeCell ref="B75:D75"/>
    <mergeCell ref="B61:C61"/>
    <mergeCell ref="B81:C81"/>
    <mergeCell ref="A63:C63"/>
    <mergeCell ref="A82:D82"/>
    <mergeCell ref="A91:C91"/>
    <mergeCell ref="B76:C76"/>
    <mergeCell ref="B77:C77"/>
    <mergeCell ref="B78:C78"/>
    <mergeCell ref="B79:C79"/>
    <mergeCell ref="B66:C66"/>
  </mergeCells>
  <printOptions horizontalCentered="1"/>
  <pageMargins left="0.31496062992125984" right="0.31496062992125984" top="1.3779527559055118" bottom="0.59055118110236227" header="0.31496062992125984" footer="0.31496062992125984"/>
  <pageSetup paperSize="9" scale="85" orientation="portrait" r:id="rId1"/>
  <headerFooter>
    <oddHeader>&amp;C&amp;G</oddHeader>
  </headerFooter>
  <rowBreaks count="2" manualBreakCount="2">
    <brk id="37" max="6" man="1"/>
    <brk id="83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E111"/>
  <sheetViews>
    <sheetView topLeftCell="A19" zoomScaleNormal="100" zoomScaleSheetLayoutView="130" workbookViewId="0">
      <selection activeCell="I88" sqref="I88"/>
    </sheetView>
  </sheetViews>
  <sheetFormatPr defaultRowHeight="15.75" x14ac:dyDescent="0.2"/>
  <cols>
    <col min="1" max="1" width="5.1640625" style="22" customWidth="1"/>
    <col min="2" max="2" width="39.6640625" style="22" customWidth="1"/>
    <col min="3" max="3" width="41.6640625" style="22" customWidth="1"/>
    <col min="4" max="4" width="30" style="31" customWidth="1"/>
    <col min="5" max="5" width="18.83203125" style="32" customWidth="1"/>
    <col min="6" max="16384" width="9.33203125" style="22"/>
  </cols>
  <sheetData>
    <row r="1" spans="1:5" ht="15" customHeight="1" x14ac:dyDescent="0.2">
      <c r="A1" s="178" t="s">
        <v>0</v>
      </c>
      <c r="B1" s="178"/>
      <c r="C1" s="178"/>
      <c r="D1" s="178"/>
      <c r="E1" s="178"/>
    </row>
    <row r="2" spans="1:5" ht="31.5" customHeight="1" x14ac:dyDescent="0.2">
      <c r="A2" s="178" t="s">
        <v>419</v>
      </c>
      <c r="B2" s="178"/>
      <c r="C2" s="178"/>
      <c r="D2" s="178"/>
      <c r="E2" s="178"/>
    </row>
    <row r="3" spans="1:5" ht="18.75" customHeight="1" x14ac:dyDescent="0.2">
      <c r="A3" s="33" t="s">
        <v>1</v>
      </c>
      <c r="B3" s="221" t="s">
        <v>2</v>
      </c>
      <c r="C3" s="221"/>
      <c r="D3" s="237"/>
      <c r="E3" s="237"/>
    </row>
    <row r="4" spans="1:5" x14ac:dyDescent="0.2">
      <c r="A4" s="33" t="s">
        <v>3</v>
      </c>
      <c r="B4" s="221" t="s">
        <v>4</v>
      </c>
      <c r="C4" s="221"/>
      <c r="D4" s="177" t="s">
        <v>5</v>
      </c>
      <c r="E4" s="177"/>
    </row>
    <row r="5" spans="1:5" ht="20.25" customHeight="1" x14ac:dyDescent="0.2">
      <c r="A5" s="33" t="s">
        <v>6</v>
      </c>
      <c r="B5" s="221" t="s">
        <v>7</v>
      </c>
      <c r="C5" s="221"/>
      <c r="D5" s="177" t="s">
        <v>436</v>
      </c>
      <c r="E5" s="177"/>
    </row>
    <row r="6" spans="1:5" x14ac:dyDescent="0.2">
      <c r="A6" s="33" t="s">
        <v>8</v>
      </c>
      <c r="B6" s="221" t="s">
        <v>9</v>
      </c>
      <c r="C6" s="221"/>
      <c r="D6" s="236">
        <v>36</v>
      </c>
      <c r="E6" s="236"/>
    </row>
    <row r="7" spans="1:5" ht="12.75" customHeight="1" x14ac:dyDescent="0.2">
      <c r="A7" s="33" t="s">
        <v>20</v>
      </c>
      <c r="B7" s="221" t="s">
        <v>10</v>
      </c>
      <c r="C7" s="221"/>
      <c r="D7" s="252" t="s">
        <v>437</v>
      </c>
      <c r="E7" s="253"/>
    </row>
    <row r="8" spans="1:5" ht="12.75" customHeight="1" x14ac:dyDescent="0.2">
      <c r="A8" s="33" t="s">
        <v>22</v>
      </c>
      <c r="B8" s="221" t="s">
        <v>11</v>
      </c>
      <c r="C8" s="221"/>
      <c r="D8" s="252" t="s">
        <v>428</v>
      </c>
      <c r="E8" s="253"/>
    </row>
    <row r="9" spans="1:5" ht="12.75" customHeight="1" x14ac:dyDescent="0.2">
      <c r="A9" s="193"/>
      <c r="B9" s="193"/>
      <c r="C9" s="193"/>
      <c r="D9" s="193"/>
      <c r="E9" s="193"/>
    </row>
    <row r="10" spans="1:5" x14ac:dyDescent="0.2">
      <c r="A10" s="189" t="s">
        <v>429</v>
      </c>
      <c r="B10" s="190"/>
      <c r="C10" s="190"/>
      <c r="D10" s="190"/>
      <c r="E10" s="191"/>
    </row>
    <row r="11" spans="1:5" x14ac:dyDescent="0.2">
      <c r="A11" s="189" t="s">
        <v>430</v>
      </c>
      <c r="B11" s="190"/>
      <c r="C11" s="190"/>
      <c r="D11" s="190"/>
      <c r="E11" s="191"/>
    </row>
    <row r="12" spans="1:5" x14ac:dyDescent="0.2">
      <c r="A12" s="37">
        <v>1</v>
      </c>
      <c r="B12" s="256" t="s">
        <v>431</v>
      </c>
      <c r="C12" s="257"/>
      <c r="D12" s="177" t="s">
        <v>478</v>
      </c>
      <c r="E12" s="200"/>
    </row>
    <row r="13" spans="1:5" ht="15.75" customHeight="1" x14ac:dyDescent="0.2">
      <c r="A13" s="37">
        <v>2</v>
      </c>
      <c r="B13" s="256" t="s">
        <v>12</v>
      </c>
      <c r="C13" s="257"/>
      <c r="D13" s="177" t="s">
        <v>269</v>
      </c>
      <c r="E13" s="177"/>
    </row>
    <row r="14" spans="1:5" ht="12.75" customHeight="1" x14ac:dyDescent="0.2">
      <c r="A14" s="37">
        <v>3</v>
      </c>
      <c r="B14" s="256" t="s">
        <v>432</v>
      </c>
      <c r="C14" s="257"/>
      <c r="D14" s="291">
        <v>1743.69</v>
      </c>
      <c r="E14" s="292"/>
    </row>
    <row r="15" spans="1:5" ht="15.75" customHeight="1" x14ac:dyDescent="0.2">
      <c r="A15" s="37">
        <v>4</v>
      </c>
      <c r="B15" s="256" t="s">
        <v>13</v>
      </c>
      <c r="C15" s="257"/>
      <c r="D15" s="177" t="s">
        <v>479</v>
      </c>
      <c r="E15" s="177"/>
    </row>
    <row r="16" spans="1:5" s="27" customFormat="1" x14ac:dyDescent="0.2">
      <c r="A16" s="37">
        <v>5</v>
      </c>
      <c r="B16" s="256" t="s">
        <v>433</v>
      </c>
      <c r="C16" s="257"/>
      <c r="D16" s="255" t="s">
        <v>470</v>
      </c>
      <c r="E16" s="255"/>
    </row>
    <row r="17" spans="1:5" x14ac:dyDescent="0.25">
      <c r="A17" s="186"/>
      <c r="B17" s="186"/>
      <c r="C17" s="186"/>
      <c r="D17" s="186"/>
      <c r="E17" s="186"/>
    </row>
    <row r="18" spans="1:5" ht="19.5" customHeight="1" x14ac:dyDescent="0.2">
      <c r="A18" s="189" t="s">
        <v>435</v>
      </c>
      <c r="B18" s="190"/>
      <c r="C18" s="190"/>
      <c r="D18" s="190"/>
      <c r="E18" s="191"/>
    </row>
    <row r="19" spans="1:5" x14ac:dyDescent="0.2">
      <c r="A19" s="44" t="s">
        <v>450</v>
      </c>
      <c r="B19" s="301" t="s">
        <v>14</v>
      </c>
      <c r="C19" s="301"/>
      <c r="D19" s="301"/>
      <c r="E19" s="47" t="s">
        <v>16</v>
      </c>
    </row>
    <row r="20" spans="1:5" x14ac:dyDescent="0.2">
      <c r="A20" s="23" t="s">
        <v>1</v>
      </c>
      <c r="B20" s="298" t="s">
        <v>59</v>
      </c>
      <c r="C20" s="298"/>
      <c r="D20" s="39">
        <v>1</v>
      </c>
      <c r="E20" s="40">
        <v>1743.69</v>
      </c>
    </row>
    <row r="21" spans="1:5" x14ac:dyDescent="0.2">
      <c r="A21" s="23" t="s">
        <v>3</v>
      </c>
      <c r="B21" s="187" t="s">
        <v>17</v>
      </c>
      <c r="C21" s="187"/>
      <c r="D21" s="41">
        <v>0</v>
      </c>
      <c r="E21" s="42" t="s">
        <v>266</v>
      </c>
    </row>
    <row r="22" spans="1:5" x14ac:dyDescent="0.2">
      <c r="A22" s="23" t="s">
        <v>6</v>
      </c>
      <c r="B22" s="187" t="s">
        <v>18</v>
      </c>
      <c r="C22" s="187"/>
      <c r="D22" s="41">
        <v>0</v>
      </c>
      <c r="E22" s="42" t="s">
        <v>266</v>
      </c>
    </row>
    <row r="23" spans="1:5" x14ac:dyDescent="0.2">
      <c r="A23" s="23" t="s">
        <v>8</v>
      </c>
      <c r="B23" s="187" t="s">
        <v>19</v>
      </c>
      <c r="C23" s="187"/>
      <c r="D23" s="41">
        <v>0</v>
      </c>
      <c r="E23" s="42" t="s">
        <v>266</v>
      </c>
    </row>
    <row r="24" spans="1:5" x14ac:dyDescent="0.2">
      <c r="A24" s="23" t="s">
        <v>20</v>
      </c>
      <c r="B24" s="187" t="s">
        <v>21</v>
      </c>
      <c r="C24" s="187"/>
      <c r="D24" s="41">
        <v>0</v>
      </c>
      <c r="E24" s="42" t="s">
        <v>266</v>
      </c>
    </row>
    <row r="25" spans="1:5" x14ac:dyDescent="0.2">
      <c r="A25" s="23" t="s">
        <v>22</v>
      </c>
      <c r="B25" s="187" t="s">
        <v>23</v>
      </c>
      <c r="C25" s="187"/>
      <c r="D25" s="41">
        <v>0</v>
      </c>
      <c r="E25" s="42" t="s">
        <v>266</v>
      </c>
    </row>
    <row r="26" spans="1:5" x14ac:dyDescent="0.2">
      <c r="A26" s="211" t="s">
        <v>440</v>
      </c>
      <c r="B26" s="212"/>
      <c r="C26" s="212"/>
      <c r="D26" s="213"/>
      <c r="E26" s="43">
        <f t="shared" ref="E26" si="0">SUM(E20:E25)</f>
        <v>1743.69</v>
      </c>
    </row>
    <row r="27" spans="1:5" x14ac:dyDescent="0.25">
      <c r="A27" s="204"/>
      <c r="B27" s="204"/>
      <c r="C27" s="204"/>
      <c r="D27" s="204"/>
      <c r="E27" s="204"/>
    </row>
    <row r="28" spans="1:5" ht="33" customHeight="1" x14ac:dyDescent="0.2">
      <c r="A28" s="189" t="s">
        <v>439</v>
      </c>
      <c r="B28" s="190"/>
      <c r="C28" s="190"/>
      <c r="D28" s="190"/>
      <c r="E28" s="191"/>
    </row>
    <row r="29" spans="1:5" ht="28.5" customHeight="1" x14ac:dyDescent="0.2">
      <c r="A29" s="233" t="s">
        <v>24</v>
      </c>
      <c r="B29" s="234"/>
      <c r="C29" s="234"/>
      <c r="D29" s="235"/>
      <c r="E29" s="47" t="s">
        <v>16</v>
      </c>
    </row>
    <row r="30" spans="1:5" x14ac:dyDescent="0.2">
      <c r="A30" s="38" t="s">
        <v>1</v>
      </c>
      <c r="B30" s="177" t="s">
        <v>27</v>
      </c>
      <c r="C30" s="177"/>
      <c r="D30" s="54">
        <v>8.3299999999999999E-2</v>
      </c>
      <c r="E30" s="42">
        <f>E26*D30</f>
        <v>145.24937700000001</v>
      </c>
    </row>
    <row r="31" spans="1:5" x14ac:dyDescent="0.2">
      <c r="A31" s="38" t="s">
        <v>3</v>
      </c>
      <c r="B31" s="177" t="s">
        <v>423</v>
      </c>
      <c r="C31" s="177"/>
      <c r="D31" s="54">
        <v>8.3299999999999999E-2</v>
      </c>
      <c r="E31" s="42">
        <f>E26*D31</f>
        <v>145.24937700000001</v>
      </c>
    </row>
    <row r="32" spans="1:5" x14ac:dyDescent="0.2">
      <c r="A32" s="38" t="s">
        <v>6</v>
      </c>
      <c r="B32" s="177" t="s">
        <v>238</v>
      </c>
      <c r="C32" s="177"/>
      <c r="D32" s="54">
        <v>2.7799999999999998E-2</v>
      </c>
      <c r="E32" s="42">
        <f>E26*D32 -0.02</f>
        <v>48.454581999999995</v>
      </c>
    </row>
    <row r="33" spans="1:5" x14ac:dyDescent="0.2">
      <c r="A33" s="238" t="s">
        <v>441</v>
      </c>
      <c r="B33" s="239"/>
      <c r="C33" s="239"/>
      <c r="D33" s="240"/>
      <c r="E33" s="70">
        <f>SUM(E30:E32) -0.01</f>
        <v>338.94333600000004</v>
      </c>
    </row>
    <row r="34" spans="1:5" ht="30.75" customHeight="1" x14ac:dyDescent="0.2">
      <c r="A34" s="227" t="s">
        <v>474</v>
      </c>
      <c r="B34" s="228"/>
      <c r="C34" s="228"/>
      <c r="D34" s="228"/>
      <c r="E34" s="229"/>
    </row>
    <row r="35" spans="1:5" x14ac:dyDescent="0.2">
      <c r="A35" s="296"/>
      <c r="B35" s="296"/>
      <c r="C35" s="296"/>
      <c r="D35" s="296"/>
      <c r="E35" s="296"/>
    </row>
    <row r="36" spans="1:5" ht="33.75" customHeight="1" x14ac:dyDescent="0.2">
      <c r="A36" s="233" t="s">
        <v>38</v>
      </c>
      <c r="B36" s="234"/>
      <c r="C36" s="234"/>
      <c r="D36" s="235"/>
      <c r="E36" s="51" t="s">
        <v>16</v>
      </c>
    </row>
    <row r="37" spans="1:5" x14ac:dyDescent="0.2">
      <c r="A37" s="23" t="s">
        <v>1</v>
      </c>
      <c r="B37" s="265" t="s">
        <v>41</v>
      </c>
      <c r="C37" s="265"/>
      <c r="D37" s="53">
        <v>0.2</v>
      </c>
      <c r="E37" s="42">
        <f>(E26+E33)*D37</f>
        <v>416.52666720000002</v>
      </c>
    </row>
    <row r="38" spans="1:5" x14ac:dyDescent="0.2">
      <c r="A38" s="23" t="s">
        <v>3</v>
      </c>
      <c r="B38" s="214" t="s">
        <v>42</v>
      </c>
      <c r="C38" s="214"/>
      <c r="D38" s="53">
        <v>2.5000000000000001E-2</v>
      </c>
      <c r="E38" s="42">
        <f>E$26*D38</f>
        <v>43.592250000000007</v>
      </c>
    </row>
    <row r="39" spans="1:5" x14ac:dyDescent="0.2">
      <c r="A39" s="23" t="s">
        <v>6</v>
      </c>
      <c r="B39" s="214" t="s">
        <v>43</v>
      </c>
      <c r="C39" s="214"/>
      <c r="D39" s="53">
        <v>0.03</v>
      </c>
      <c r="E39" s="42">
        <f t="shared" ref="E39:E45" si="1">E$26*D39</f>
        <v>52.310699999999997</v>
      </c>
    </row>
    <row r="40" spans="1:5" x14ac:dyDescent="0.2">
      <c r="A40" s="23" t="s">
        <v>8</v>
      </c>
      <c r="B40" s="214" t="s">
        <v>44</v>
      </c>
      <c r="C40" s="214"/>
      <c r="D40" s="53">
        <v>1.4999999999999999E-2</v>
      </c>
      <c r="E40" s="42">
        <f t="shared" si="1"/>
        <v>26.155349999999999</v>
      </c>
    </row>
    <row r="41" spans="1:5" x14ac:dyDescent="0.2">
      <c r="A41" s="23" t="s">
        <v>20</v>
      </c>
      <c r="B41" s="214" t="s">
        <v>45</v>
      </c>
      <c r="C41" s="214"/>
      <c r="D41" s="53">
        <v>0.01</v>
      </c>
      <c r="E41" s="42">
        <f t="shared" si="1"/>
        <v>17.436900000000001</v>
      </c>
    </row>
    <row r="42" spans="1:5" x14ac:dyDescent="0.2">
      <c r="A42" s="23" t="s">
        <v>22</v>
      </c>
      <c r="B42" s="214" t="s">
        <v>46</v>
      </c>
      <c r="C42" s="214"/>
      <c r="D42" s="53">
        <v>6.0000000000000001E-3</v>
      </c>
      <c r="E42" s="42">
        <f t="shared" si="1"/>
        <v>10.46214</v>
      </c>
    </row>
    <row r="43" spans="1:5" x14ac:dyDescent="0.2">
      <c r="A43" s="25" t="s">
        <v>47</v>
      </c>
      <c r="B43" s="221" t="s">
        <v>258</v>
      </c>
      <c r="C43" s="221"/>
      <c r="D43" s="54">
        <v>2E-3</v>
      </c>
      <c r="E43" s="42">
        <f t="shared" si="1"/>
        <v>3.4873800000000004</v>
      </c>
    </row>
    <row r="44" spans="1:5" x14ac:dyDescent="0.2">
      <c r="A44" s="25" t="s">
        <v>48</v>
      </c>
      <c r="B44" s="219" t="s">
        <v>466</v>
      </c>
      <c r="C44" s="220"/>
      <c r="D44" s="54">
        <v>3.49E-2</v>
      </c>
      <c r="E44" s="42">
        <f t="shared" si="1"/>
        <v>60.854781000000003</v>
      </c>
    </row>
    <row r="45" spans="1:5" x14ac:dyDescent="0.2">
      <c r="A45" s="23" t="s">
        <v>69</v>
      </c>
      <c r="B45" s="214" t="s">
        <v>49</v>
      </c>
      <c r="C45" s="214"/>
      <c r="D45" s="53">
        <v>0.08</v>
      </c>
      <c r="E45" s="42">
        <f t="shared" si="1"/>
        <v>139.49520000000001</v>
      </c>
    </row>
    <row r="46" spans="1:5" x14ac:dyDescent="0.2">
      <c r="A46" s="238" t="s">
        <v>442</v>
      </c>
      <c r="B46" s="239"/>
      <c r="C46" s="239"/>
      <c r="D46" s="240"/>
      <c r="E46" s="55">
        <f>SUM(E37:E45)</f>
        <v>770.32136820000005</v>
      </c>
    </row>
    <row r="47" spans="1:5" x14ac:dyDescent="0.25">
      <c r="A47" s="201"/>
      <c r="B47" s="202"/>
      <c r="C47" s="202"/>
      <c r="D47" s="202"/>
      <c r="E47" s="302"/>
    </row>
    <row r="48" spans="1:5" x14ac:dyDescent="0.2">
      <c r="A48" s="197" t="s">
        <v>50</v>
      </c>
      <c r="B48" s="198"/>
      <c r="C48" s="199"/>
      <c r="D48" s="274" t="s">
        <v>16</v>
      </c>
      <c r="E48" s="274"/>
    </row>
    <row r="49" spans="1:5" ht="15.75" customHeight="1" x14ac:dyDescent="0.2">
      <c r="A49" s="35" t="s">
        <v>1</v>
      </c>
      <c r="B49" s="187" t="s">
        <v>58</v>
      </c>
      <c r="C49" s="247"/>
      <c r="D49" s="208">
        <f>((5.5)*2*22) - 6%*E26</f>
        <v>137.37860000000001</v>
      </c>
      <c r="E49" s="208"/>
    </row>
    <row r="50" spans="1:5" ht="15.75" customHeight="1" x14ac:dyDescent="0.2">
      <c r="A50" s="35" t="s">
        <v>3</v>
      </c>
      <c r="B50" s="177" t="s">
        <v>422</v>
      </c>
      <c r="C50" s="177"/>
      <c r="D50" s="248">
        <f>(22*44.3)</f>
        <v>974.59999999999991</v>
      </c>
      <c r="E50" s="223"/>
    </row>
    <row r="51" spans="1:5" ht="15.75" customHeight="1" x14ac:dyDescent="0.2">
      <c r="A51" s="35" t="s">
        <v>6</v>
      </c>
      <c r="B51" s="187" t="s">
        <v>425</v>
      </c>
      <c r="C51" s="187"/>
      <c r="D51" s="208"/>
      <c r="E51" s="208"/>
    </row>
    <row r="52" spans="1:5" x14ac:dyDescent="0.2">
      <c r="A52" s="56" t="s">
        <v>8</v>
      </c>
      <c r="B52" s="177" t="s">
        <v>53</v>
      </c>
      <c r="C52" s="177"/>
      <c r="D52" s="208"/>
      <c r="E52" s="208"/>
    </row>
    <row r="53" spans="1:5" x14ac:dyDescent="0.2">
      <c r="A53" s="35" t="s">
        <v>20</v>
      </c>
      <c r="B53" s="187" t="s">
        <v>54</v>
      </c>
      <c r="C53" s="187"/>
      <c r="D53" s="208" t="s">
        <v>266</v>
      </c>
      <c r="E53" s="208"/>
    </row>
    <row r="54" spans="1:5" ht="15.75" customHeight="1" x14ac:dyDescent="0.2">
      <c r="A54" s="35" t="s">
        <v>22</v>
      </c>
      <c r="B54" s="177" t="s">
        <v>237</v>
      </c>
      <c r="C54" s="200"/>
      <c r="D54" s="208"/>
      <c r="E54" s="208"/>
    </row>
    <row r="55" spans="1:5" x14ac:dyDescent="0.2">
      <c r="A55" s="238" t="s">
        <v>443</v>
      </c>
      <c r="B55" s="239"/>
      <c r="C55" s="240"/>
      <c r="D55" s="195">
        <f>SUM(D49:D54)</f>
        <v>1111.9785999999999</v>
      </c>
      <c r="E55" s="195"/>
    </row>
    <row r="56" spans="1:5" x14ac:dyDescent="0.25">
      <c r="A56" s="244"/>
      <c r="B56" s="245"/>
      <c r="C56" s="280"/>
      <c r="D56" s="204"/>
      <c r="E56" s="204"/>
    </row>
    <row r="57" spans="1:5" ht="27.75" customHeight="1" x14ac:dyDescent="0.2">
      <c r="A57" s="189" t="s">
        <v>55</v>
      </c>
      <c r="B57" s="190"/>
      <c r="C57" s="190"/>
      <c r="D57" s="190"/>
      <c r="E57" s="191"/>
    </row>
    <row r="58" spans="1:5" ht="15.75" customHeight="1" x14ac:dyDescent="0.2">
      <c r="A58" s="60" t="s">
        <v>449</v>
      </c>
      <c r="B58" s="216" t="s">
        <v>56</v>
      </c>
      <c r="C58" s="216"/>
      <c r="D58" s="274" t="s">
        <v>16</v>
      </c>
      <c r="E58" s="275"/>
    </row>
    <row r="59" spans="1:5" x14ac:dyDescent="0.2">
      <c r="A59" s="23" t="s">
        <v>25</v>
      </c>
      <c r="B59" s="214" t="s">
        <v>26</v>
      </c>
      <c r="C59" s="214"/>
      <c r="D59" s="208">
        <f>E33</f>
        <v>338.94333600000004</v>
      </c>
      <c r="E59" s="215"/>
    </row>
    <row r="60" spans="1:5" x14ac:dyDescent="0.2">
      <c r="A60" s="23" t="s">
        <v>39</v>
      </c>
      <c r="B60" s="214" t="s">
        <v>40</v>
      </c>
      <c r="C60" s="214"/>
      <c r="D60" s="208">
        <f>E46</f>
        <v>770.32136820000005</v>
      </c>
      <c r="E60" s="215"/>
    </row>
    <row r="61" spans="1:5" x14ac:dyDescent="0.2">
      <c r="A61" s="23" t="s">
        <v>51</v>
      </c>
      <c r="B61" s="214" t="s">
        <v>52</v>
      </c>
      <c r="C61" s="214"/>
      <c r="D61" s="223">
        <f>D55</f>
        <v>1111.9785999999999</v>
      </c>
      <c r="E61" s="215"/>
    </row>
    <row r="62" spans="1:5" x14ac:dyDescent="0.2">
      <c r="A62" s="211" t="s">
        <v>444</v>
      </c>
      <c r="B62" s="212"/>
      <c r="C62" s="213"/>
      <c r="D62" s="293">
        <f>SUM(D59:D61)</f>
        <v>2221.2433042000002</v>
      </c>
      <c r="E62" s="224"/>
    </row>
    <row r="63" spans="1:5" x14ac:dyDescent="0.25">
      <c r="A63" s="186"/>
      <c r="B63" s="186"/>
      <c r="C63" s="186"/>
      <c r="D63" s="186"/>
      <c r="E63" s="186"/>
    </row>
    <row r="64" spans="1:5" ht="15.75" customHeight="1" x14ac:dyDescent="0.2">
      <c r="A64" s="189" t="s">
        <v>445</v>
      </c>
      <c r="B64" s="190"/>
      <c r="C64" s="190"/>
      <c r="D64" s="190"/>
      <c r="E64" s="191"/>
    </row>
    <row r="65" spans="1:5" x14ac:dyDescent="0.2">
      <c r="A65" s="60" t="s">
        <v>448</v>
      </c>
      <c r="B65" s="197" t="s">
        <v>57</v>
      </c>
      <c r="C65" s="198"/>
      <c r="D65" s="199"/>
      <c r="E65" s="72" t="s">
        <v>16</v>
      </c>
    </row>
    <row r="66" spans="1:5" x14ac:dyDescent="0.2">
      <c r="A66" s="33" t="s">
        <v>1</v>
      </c>
      <c r="B66" s="214" t="s">
        <v>228</v>
      </c>
      <c r="C66" s="268"/>
      <c r="D66" s="54">
        <v>2.5000000000000001E-2</v>
      </c>
      <c r="E66" s="42">
        <f>E$26*D66</f>
        <v>43.592250000000007</v>
      </c>
    </row>
    <row r="67" spans="1:5" x14ac:dyDescent="0.2">
      <c r="A67" s="33" t="s">
        <v>3</v>
      </c>
      <c r="B67" s="221" t="s">
        <v>255</v>
      </c>
      <c r="C67" s="222"/>
      <c r="D67" s="54">
        <v>2E-3</v>
      </c>
      <c r="E67" s="42">
        <f t="shared" ref="E67:E71" si="2">E$26*D67</f>
        <v>3.4873800000000004</v>
      </c>
    </row>
    <row r="68" spans="1:5" x14ac:dyDescent="0.2">
      <c r="A68" s="33" t="s">
        <v>6</v>
      </c>
      <c r="B68" s="221" t="s">
        <v>256</v>
      </c>
      <c r="C68" s="222"/>
      <c r="D68" s="54">
        <v>3.2099999999999997E-2</v>
      </c>
      <c r="E68" s="42">
        <f t="shared" si="2"/>
        <v>55.972448999999997</v>
      </c>
    </row>
    <row r="69" spans="1:5" x14ac:dyDescent="0.2">
      <c r="A69" s="33" t="s">
        <v>8</v>
      </c>
      <c r="B69" s="221" t="s">
        <v>229</v>
      </c>
      <c r="C69" s="222"/>
      <c r="D69" s="54">
        <v>1.9400000000000001E-2</v>
      </c>
      <c r="E69" s="42">
        <f t="shared" si="2"/>
        <v>33.827586000000004</v>
      </c>
    </row>
    <row r="70" spans="1:5" x14ac:dyDescent="0.2">
      <c r="A70" s="33" t="s">
        <v>20</v>
      </c>
      <c r="B70" s="214" t="s">
        <v>420</v>
      </c>
      <c r="C70" s="268"/>
      <c r="D70" s="54">
        <v>2.9681999999999998E-3</v>
      </c>
      <c r="E70" s="42">
        <f t="shared" si="2"/>
        <v>5.1756206579999997</v>
      </c>
    </row>
    <row r="71" spans="1:5" x14ac:dyDescent="0.2">
      <c r="A71" s="33" t="s">
        <v>22</v>
      </c>
      <c r="B71" s="214" t="s">
        <v>257</v>
      </c>
      <c r="C71" s="268"/>
      <c r="D71" s="54">
        <v>8.6999999999999994E-3</v>
      </c>
      <c r="E71" s="42">
        <f t="shared" si="2"/>
        <v>15.170102999999999</v>
      </c>
    </row>
    <row r="72" spans="1:5" x14ac:dyDescent="0.2">
      <c r="A72" s="211" t="s">
        <v>446</v>
      </c>
      <c r="B72" s="212"/>
      <c r="C72" s="212"/>
      <c r="D72" s="213"/>
      <c r="E72" s="43">
        <f t="shared" ref="E72" si="3">SUM(E66:E71)</f>
        <v>157.22538865800001</v>
      </c>
    </row>
    <row r="73" spans="1:5" x14ac:dyDescent="0.25">
      <c r="A73" s="186"/>
      <c r="B73" s="186"/>
      <c r="C73" s="186"/>
      <c r="D73" s="281"/>
      <c r="E73" s="294"/>
    </row>
    <row r="74" spans="1:5" ht="18.75" customHeight="1" x14ac:dyDescent="0.2">
      <c r="A74" s="189" t="s">
        <v>447</v>
      </c>
      <c r="B74" s="190"/>
      <c r="C74" s="190"/>
      <c r="D74" s="190"/>
      <c r="E74" s="191"/>
    </row>
    <row r="75" spans="1:5" ht="24" customHeight="1" x14ac:dyDescent="0.2">
      <c r="A75" s="50" t="s">
        <v>451</v>
      </c>
      <c r="B75" s="48" t="s">
        <v>452</v>
      </c>
      <c r="C75" s="48"/>
      <c r="D75" s="49"/>
      <c r="E75" s="51" t="s">
        <v>16</v>
      </c>
    </row>
    <row r="76" spans="1:5" x14ac:dyDescent="0.2">
      <c r="A76" s="25" t="s">
        <v>1</v>
      </c>
      <c r="B76" s="177" t="s">
        <v>236</v>
      </c>
      <c r="C76" s="177"/>
      <c r="D76" s="54">
        <v>8.3299999999999999E-2</v>
      </c>
      <c r="E76" s="42">
        <f>SUM(E$26*D76) +0.04</f>
        <v>145.289377</v>
      </c>
    </row>
    <row r="77" spans="1:5" x14ac:dyDescent="0.2">
      <c r="A77" s="25" t="s">
        <v>3</v>
      </c>
      <c r="B77" s="200" t="s">
        <v>235</v>
      </c>
      <c r="C77" s="200"/>
      <c r="D77" s="54">
        <v>5.4999999999999997E-3</v>
      </c>
      <c r="E77" s="42">
        <f>SUM(E$26*D77)</f>
        <v>9.5902949999999993</v>
      </c>
    </row>
    <row r="78" spans="1:5" x14ac:dyDescent="0.2">
      <c r="A78" s="25" t="s">
        <v>6</v>
      </c>
      <c r="B78" s="200" t="s">
        <v>234</v>
      </c>
      <c r="C78" s="200"/>
      <c r="D78" s="54">
        <v>1.1000000000000001E-3</v>
      </c>
      <c r="E78" s="42">
        <f t="shared" ref="E78:E81" si="4">SUM(E$26*D78)</f>
        <v>1.9180590000000002</v>
      </c>
    </row>
    <row r="79" spans="1:5" x14ac:dyDescent="0.2">
      <c r="A79" s="25" t="s">
        <v>8</v>
      </c>
      <c r="B79" s="200" t="s">
        <v>233</v>
      </c>
      <c r="C79" s="200"/>
      <c r="D79" s="54">
        <v>4.1999999999999997E-3</v>
      </c>
      <c r="E79" s="42">
        <f t="shared" si="4"/>
        <v>7.3234979999999998</v>
      </c>
    </row>
    <row r="80" spans="1:5" x14ac:dyDescent="0.2">
      <c r="A80" s="25" t="s">
        <v>20</v>
      </c>
      <c r="B80" s="200" t="s">
        <v>232</v>
      </c>
      <c r="C80" s="200"/>
      <c r="D80" s="54">
        <v>1E-3</v>
      </c>
      <c r="E80" s="42" t="s">
        <v>266</v>
      </c>
    </row>
    <row r="81" spans="1:5" x14ac:dyDescent="0.2">
      <c r="A81" s="25" t="s">
        <v>22</v>
      </c>
      <c r="B81" s="177" t="s">
        <v>231</v>
      </c>
      <c r="C81" s="200"/>
      <c r="D81" s="54">
        <v>1.66E-2</v>
      </c>
      <c r="E81" s="42">
        <f t="shared" si="4"/>
        <v>28.945254000000002</v>
      </c>
    </row>
    <row r="82" spans="1:5" x14ac:dyDescent="0.2">
      <c r="A82" s="211" t="s">
        <v>476</v>
      </c>
      <c r="B82" s="212"/>
      <c r="C82" s="212"/>
      <c r="D82" s="213"/>
      <c r="E82" s="61">
        <f t="shared" ref="E82" si="5">SUM(E76:E81)</f>
        <v>193.06648300000001</v>
      </c>
    </row>
    <row r="83" spans="1:5" x14ac:dyDescent="0.25">
      <c r="A83" s="244"/>
      <c r="B83" s="245"/>
      <c r="C83" s="245"/>
      <c r="D83" s="245"/>
      <c r="E83" s="246"/>
    </row>
    <row r="84" spans="1:5" ht="15.75" customHeight="1" x14ac:dyDescent="0.2">
      <c r="A84" s="189" t="s">
        <v>462</v>
      </c>
      <c r="B84" s="190"/>
      <c r="C84" s="190"/>
      <c r="D84" s="190"/>
      <c r="E84" s="191"/>
    </row>
    <row r="85" spans="1:5" x14ac:dyDescent="0.2">
      <c r="A85" s="60" t="s">
        <v>453</v>
      </c>
      <c r="B85" s="216" t="s">
        <v>30</v>
      </c>
      <c r="C85" s="216"/>
      <c r="D85" s="274" t="s">
        <v>16</v>
      </c>
      <c r="E85" s="275"/>
    </row>
    <row r="86" spans="1:5" x14ac:dyDescent="0.2">
      <c r="A86" s="35" t="s">
        <v>1</v>
      </c>
      <c r="B86" s="177" t="s">
        <v>31</v>
      </c>
      <c r="C86" s="177"/>
      <c r="D86" s="208">
        <f>UNIFORMES!O9</f>
        <v>55.400833333333338</v>
      </c>
      <c r="E86" s="208"/>
    </row>
    <row r="87" spans="1:5" x14ac:dyDescent="0.2">
      <c r="A87" s="35" t="s">
        <v>3</v>
      </c>
      <c r="B87" s="207" t="s">
        <v>456</v>
      </c>
      <c r="C87" s="207"/>
      <c r="D87" s="208" t="s">
        <v>266</v>
      </c>
      <c r="E87" s="208"/>
    </row>
    <row r="88" spans="1:5" ht="55.5" customHeight="1" x14ac:dyDescent="0.2">
      <c r="A88" s="35" t="s">
        <v>6</v>
      </c>
      <c r="B88" s="207" t="s">
        <v>454</v>
      </c>
      <c r="C88" s="207"/>
      <c r="D88" s="223">
        <f>FERRAMENTAS!AB77</f>
        <v>44.853365079365076</v>
      </c>
      <c r="E88" s="223"/>
    </row>
    <row r="89" spans="1:5" ht="15.75" customHeight="1" x14ac:dyDescent="0.2">
      <c r="A89" s="35" t="s">
        <v>8</v>
      </c>
      <c r="B89" s="177" t="s">
        <v>459</v>
      </c>
      <c r="C89" s="177"/>
      <c r="D89" s="273">
        <f>EPI!O31</f>
        <v>47.272192460317463</v>
      </c>
      <c r="E89" s="273"/>
    </row>
    <row r="90" spans="1:5" x14ac:dyDescent="0.2">
      <c r="A90" s="211" t="s">
        <v>455</v>
      </c>
      <c r="B90" s="212"/>
      <c r="C90" s="213"/>
      <c r="D90" s="279">
        <f>SUM(D86:D89)</f>
        <v>147.52639087301588</v>
      </c>
      <c r="E90" s="279"/>
    </row>
    <row r="91" spans="1:5" x14ac:dyDescent="0.25">
      <c r="A91" s="244"/>
      <c r="B91" s="245"/>
      <c r="C91" s="280"/>
      <c r="D91" s="201"/>
      <c r="E91" s="202"/>
    </row>
    <row r="92" spans="1:5" ht="21.75" customHeight="1" x14ac:dyDescent="0.2">
      <c r="A92" s="178" t="s">
        <v>457</v>
      </c>
      <c r="B92" s="178"/>
      <c r="C92" s="178"/>
      <c r="D92" s="178"/>
      <c r="E92" s="178"/>
    </row>
    <row r="93" spans="1:5" x14ac:dyDescent="0.2">
      <c r="A93" s="77">
        <v>6</v>
      </c>
      <c r="B93" s="303" t="s">
        <v>32</v>
      </c>
      <c r="C93" s="303"/>
      <c r="D93" s="35" t="s">
        <v>29</v>
      </c>
      <c r="E93" s="78" t="s">
        <v>16</v>
      </c>
    </row>
    <row r="94" spans="1:5" x14ac:dyDescent="0.2">
      <c r="A94" s="38" t="s">
        <v>1</v>
      </c>
      <c r="B94" s="187" t="s">
        <v>33</v>
      </c>
      <c r="C94" s="187"/>
      <c r="D94" s="63">
        <v>0.03</v>
      </c>
      <c r="E94" s="73">
        <f>SUM(E$108*D94)</f>
        <v>132.80731417167047</v>
      </c>
    </row>
    <row r="95" spans="1:5" x14ac:dyDescent="0.2">
      <c r="A95" s="38" t="s">
        <v>3</v>
      </c>
      <c r="B95" s="187" t="s">
        <v>230</v>
      </c>
      <c r="C95" s="187"/>
      <c r="D95" s="63">
        <v>0.08</v>
      </c>
      <c r="E95" s="73">
        <f>(E94+E$108)*D95 +0.01</f>
        <v>364.78742292485492</v>
      </c>
    </row>
    <row r="96" spans="1:5" x14ac:dyDescent="0.2">
      <c r="A96" s="38" t="s">
        <v>6</v>
      </c>
      <c r="B96" s="187" t="s">
        <v>34</v>
      </c>
      <c r="C96" s="187"/>
      <c r="D96" s="62">
        <v>8.6499999999999994E-2</v>
      </c>
      <c r="E96" s="74">
        <f>D96*E110</f>
        <v>466.30422599124165</v>
      </c>
    </row>
    <row r="97" spans="1:5" x14ac:dyDescent="0.2">
      <c r="A97" s="204"/>
      <c r="B97" s="187" t="s">
        <v>480</v>
      </c>
      <c r="C97" s="187"/>
      <c r="D97" s="63">
        <v>3.6499999999999998E-2</v>
      </c>
      <c r="E97" s="74">
        <f>E110*D97</f>
        <v>196.76421096740256</v>
      </c>
    </row>
    <row r="98" spans="1:5" x14ac:dyDescent="0.2">
      <c r="A98" s="204"/>
      <c r="B98" s="187" t="s">
        <v>426</v>
      </c>
      <c r="C98" s="187"/>
      <c r="D98" s="63">
        <v>0.05</v>
      </c>
      <c r="E98" s="74">
        <f>E110*D98</f>
        <v>269.54001502383915</v>
      </c>
    </row>
    <row r="99" spans="1:5" x14ac:dyDescent="0.2">
      <c r="A99" s="204"/>
      <c r="B99" s="211" t="s">
        <v>461</v>
      </c>
      <c r="C99" s="212"/>
      <c r="D99" s="213"/>
      <c r="E99" s="66">
        <f>SUM(E94:E98) -0.01</f>
        <v>1430.1931890790086</v>
      </c>
    </row>
    <row r="100" spans="1:5" x14ac:dyDescent="0.25">
      <c r="A100" s="206"/>
      <c r="B100" s="206"/>
      <c r="C100" s="206"/>
      <c r="D100" s="281"/>
      <c r="E100" s="294"/>
    </row>
    <row r="101" spans="1:5" ht="12.75" customHeight="1" x14ac:dyDescent="0.2">
      <c r="A101" s="189" t="s">
        <v>460</v>
      </c>
      <c r="B101" s="190"/>
      <c r="C101" s="190"/>
      <c r="D101" s="190"/>
      <c r="E101" s="191"/>
    </row>
    <row r="102" spans="1:5" ht="15.75" customHeight="1" x14ac:dyDescent="0.2">
      <c r="A102" s="197" t="s">
        <v>35</v>
      </c>
      <c r="B102" s="198"/>
      <c r="C102" s="198"/>
      <c r="D102" s="199"/>
      <c r="E102" s="71" t="s">
        <v>36</v>
      </c>
    </row>
    <row r="103" spans="1:5" x14ac:dyDescent="0.2">
      <c r="A103" s="38" t="s">
        <v>1</v>
      </c>
      <c r="B103" s="304" t="s">
        <v>413</v>
      </c>
      <c r="C103" s="305"/>
      <c r="D103" s="306"/>
      <c r="E103" s="64">
        <f>E26</f>
        <v>1743.69</v>
      </c>
    </row>
    <row r="104" spans="1:5" x14ac:dyDescent="0.2">
      <c r="A104" s="38" t="s">
        <v>3</v>
      </c>
      <c r="B104" s="307" t="s">
        <v>414</v>
      </c>
      <c r="C104" s="308"/>
      <c r="D104" s="309"/>
      <c r="E104" s="64">
        <f>D62</f>
        <v>2221.2433042000002</v>
      </c>
    </row>
    <row r="105" spans="1:5" x14ac:dyDescent="0.2">
      <c r="A105" s="38" t="s">
        <v>6</v>
      </c>
      <c r="B105" s="307" t="s">
        <v>415</v>
      </c>
      <c r="C105" s="308"/>
      <c r="D105" s="309"/>
      <c r="E105" s="64">
        <f>E72</f>
        <v>157.22538865800001</v>
      </c>
    </row>
    <row r="106" spans="1:5" x14ac:dyDescent="0.2">
      <c r="A106" s="38" t="s">
        <v>8</v>
      </c>
      <c r="B106" s="307" t="s">
        <v>416</v>
      </c>
      <c r="C106" s="308"/>
      <c r="D106" s="309"/>
      <c r="E106" s="64">
        <f>E72</f>
        <v>157.22538865800001</v>
      </c>
    </row>
    <row r="107" spans="1:5" x14ac:dyDescent="0.2">
      <c r="A107" s="38" t="s">
        <v>20</v>
      </c>
      <c r="B107" s="307" t="s">
        <v>417</v>
      </c>
      <c r="C107" s="308"/>
      <c r="D107" s="309"/>
      <c r="E107" s="64">
        <f>D90</f>
        <v>147.52639087301588</v>
      </c>
    </row>
    <row r="108" spans="1:5" x14ac:dyDescent="0.25">
      <c r="A108" s="58"/>
      <c r="B108" s="241" t="s">
        <v>85</v>
      </c>
      <c r="C108" s="242"/>
      <c r="D108" s="243"/>
      <c r="E108" s="65">
        <f>SUM(E103:E107)</f>
        <v>4426.9104723890159</v>
      </c>
    </row>
    <row r="109" spans="1:5" x14ac:dyDescent="0.2">
      <c r="A109" s="38" t="s">
        <v>22</v>
      </c>
      <c r="B109" s="307" t="s">
        <v>418</v>
      </c>
      <c r="C109" s="308"/>
      <c r="D109" s="309"/>
      <c r="E109" s="64">
        <f>E99</f>
        <v>1430.1931890790086</v>
      </c>
    </row>
    <row r="110" spans="1:5" ht="25.5" customHeight="1" x14ac:dyDescent="0.2">
      <c r="A110" s="211" t="s">
        <v>37</v>
      </c>
      <c r="B110" s="212"/>
      <c r="C110" s="212"/>
      <c r="D110" s="213"/>
      <c r="E110" s="67">
        <f>(E94+E95+E108)/(1-D96)  -0.01</f>
        <v>5390.8003004767825</v>
      </c>
    </row>
    <row r="111" spans="1:5" x14ac:dyDescent="0.2">
      <c r="D111" s="30"/>
      <c r="E111" s="30"/>
    </row>
  </sheetData>
  <mergeCells count="144">
    <mergeCell ref="A110:D110"/>
    <mergeCell ref="A100:C100"/>
    <mergeCell ref="D100:E100"/>
    <mergeCell ref="A101:E101"/>
    <mergeCell ref="A102:D102"/>
    <mergeCell ref="B103:D103"/>
    <mergeCell ref="B104:D104"/>
    <mergeCell ref="B105:D105"/>
    <mergeCell ref="B106:D106"/>
    <mergeCell ref="B107:D107"/>
    <mergeCell ref="B109:D109"/>
    <mergeCell ref="B108:D108"/>
    <mergeCell ref="B88:C88"/>
    <mergeCell ref="D88:E88"/>
    <mergeCell ref="B89:C89"/>
    <mergeCell ref="D89:E89"/>
    <mergeCell ref="D85:E85"/>
    <mergeCell ref="D86:E86"/>
    <mergeCell ref="B95:C95"/>
    <mergeCell ref="B96:C96"/>
    <mergeCell ref="A97:A99"/>
    <mergeCell ref="B97:C97"/>
    <mergeCell ref="B98:C98"/>
    <mergeCell ref="D90:E90"/>
    <mergeCell ref="B93:C93"/>
    <mergeCell ref="B94:C94"/>
    <mergeCell ref="A91:C91"/>
    <mergeCell ref="D91:E91"/>
    <mergeCell ref="A92:E92"/>
    <mergeCell ref="B99:D99"/>
    <mergeCell ref="A90:C90"/>
    <mergeCell ref="D73:E73"/>
    <mergeCell ref="B71:C71"/>
    <mergeCell ref="A73:C73"/>
    <mergeCell ref="B70:C70"/>
    <mergeCell ref="A72:D72"/>
    <mergeCell ref="A74:E74"/>
    <mergeCell ref="B87:C87"/>
    <mergeCell ref="B85:C85"/>
    <mergeCell ref="B76:C76"/>
    <mergeCell ref="B77:C77"/>
    <mergeCell ref="B78:C78"/>
    <mergeCell ref="B79:C79"/>
    <mergeCell ref="B80:C80"/>
    <mergeCell ref="A82:D82"/>
    <mergeCell ref="A83:E83"/>
    <mergeCell ref="A84:E84"/>
    <mergeCell ref="B86:C86"/>
    <mergeCell ref="B81:C81"/>
    <mergeCell ref="D87:E87"/>
    <mergeCell ref="D51:E51"/>
    <mergeCell ref="B52:C52"/>
    <mergeCell ref="D52:E52"/>
    <mergeCell ref="B53:C53"/>
    <mergeCell ref="D53:E53"/>
    <mergeCell ref="B37:C37"/>
    <mergeCell ref="B38:C38"/>
    <mergeCell ref="B39:C39"/>
    <mergeCell ref="B40:C40"/>
    <mergeCell ref="D50:E50"/>
    <mergeCell ref="B43:C43"/>
    <mergeCell ref="B45:C45"/>
    <mergeCell ref="B44:C44"/>
    <mergeCell ref="A47:E47"/>
    <mergeCell ref="A46:D46"/>
    <mergeCell ref="A48:C48"/>
    <mergeCell ref="D48:E48"/>
    <mergeCell ref="B49:C49"/>
    <mergeCell ref="D49:E49"/>
    <mergeCell ref="B50:C50"/>
    <mergeCell ref="A17:E17"/>
    <mergeCell ref="B14:C14"/>
    <mergeCell ref="D14:E14"/>
    <mergeCell ref="B15:C15"/>
    <mergeCell ref="D15:E15"/>
    <mergeCell ref="B5:C5"/>
    <mergeCell ref="D5:E5"/>
    <mergeCell ref="B6:C6"/>
    <mergeCell ref="D6:E6"/>
    <mergeCell ref="D7:E7"/>
    <mergeCell ref="D8:E8"/>
    <mergeCell ref="B16:C16"/>
    <mergeCell ref="D16:E16"/>
    <mergeCell ref="B13:C13"/>
    <mergeCell ref="D13:E13"/>
    <mergeCell ref="B12:C12"/>
    <mergeCell ref="D12:E12"/>
    <mergeCell ref="A1:E1"/>
    <mergeCell ref="A2:E2"/>
    <mergeCell ref="B7:C7"/>
    <mergeCell ref="B8:C8"/>
    <mergeCell ref="A9:E9"/>
    <mergeCell ref="A10:E10"/>
    <mergeCell ref="A11:E11"/>
    <mergeCell ref="B3:C3"/>
    <mergeCell ref="D3:E3"/>
    <mergeCell ref="B4:C4"/>
    <mergeCell ref="D4:E4"/>
    <mergeCell ref="D55:E55"/>
    <mergeCell ref="B66:C66"/>
    <mergeCell ref="B67:C67"/>
    <mergeCell ref="B68:C68"/>
    <mergeCell ref="B69:C69"/>
    <mergeCell ref="D62:E62"/>
    <mergeCell ref="A55:C55"/>
    <mergeCell ref="A57:E57"/>
    <mergeCell ref="A62:C62"/>
    <mergeCell ref="A63:E63"/>
    <mergeCell ref="A64:E64"/>
    <mergeCell ref="B65:D65"/>
    <mergeCell ref="A56:C56"/>
    <mergeCell ref="D56:E56"/>
    <mergeCell ref="B61:C61"/>
    <mergeCell ref="D61:E61"/>
    <mergeCell ref="B58:C58"/>
    <mergeCell ref="D58:E58"/>
    <mergeCell ref="B59:C59"/>
    <mergeCell ref="D59:E59"/>
    <mergeCell ref="B60:C60"/>
    <mergeCell ref="D60:E60"/>
    <mergeCell ref="B23:C23"/>
    <mergeCell ref="B54:C54"/>
    <mergeCell ref="D54:E54"/>
    <mergeCell ref="A18:E18"/>
    <mergeCell ref="B19:D19"/>
    <mergeCell ref="A26:D26"/>
    <mergeCell ref="A27:E27"/>
    <mergeCell ref="A28:E28"/>
    <mergeCell ref="A29:D29"/>
    <mergeCell ref="A34:E34"/>
    <mergeCell ref="B30:C30"/>
    <mergeCell ref="B32:C32"/>
    <mergeCell ref="B41:C41"/>
    <mergeCell ref="B42:C42"/>
    <mergeCell ref="A33:D33"/>
    <mergeCell ref="A35:E35"/>
    <mergeCell ref="A36:D36"/>
    <mergeCell ref="B31:C31"/>
    <mergeCell ref="B24:C24"/>
    <mergeCell ref="B25:C25"/>
    <mergeCell ref="B20:C20"/>
    <mergeCell ref="B21:C21"/>
    <mergeCell ref="B22:C22"/>
    <mergeCell ref="B51:C51"/>
  </mergeCells>
  <phoneticPr fontId="17" type="noConversion"/>
  <printOptions horizontalCentered="1"/>
  <pageMargins left="0.31496062992125984" right="0.31496062992125984" top="1.3779527559055118" bottom="0.59055118110236227" header="0.31496062992125984" footer="0.31496062992125984"/>
  <pageSetup paperSize="9" scale="85" orientation="portrait" r:id="rId1"/>
  <headerFooter>
    <oddHeader>&amp;C&amp;G</oddHeader>
  </headerFooter>
  <rowBreaks count="2" manualBreakCount="2">
    <brk id="37" max="6" man="1"/>
    <brk id="83" max="16383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O9"/>
  <sheetViews>
    <sheetView zoomScale="80" zoomScaleNormal="80" zoomScaleSheetLayoutView="100" workbookViewId="0">
      <selection activeCell="O9" sqref="O9"/>
    </sheetView>
  </sheetViews>
  <sheetFormatPr defaultRowHeight="15.75" x14ac:dyDescent="0.25"/>
  <cols>
    <col min="1" max="1" width="10.6640625" style="14" customWidth="1"/>
    <col min="2" max="2" width="66.5" style="14" customWidth="1"/>
    <col min="3" max="3" width="15" style="14" customWidth="1"/>
    <col min="4" max="4" width="12.5" style="14" customWidth="1"/>
    <col min="5" max="5" width="14.6640625" style="16" customWidth="1"/>
    <col min="6" max="6" width="16.1640625" style="16" customWidth="1"/>
    <col min="7" max="7" width="19.6640625" style="16" customWidth="1"/>
    <col min="8" max="8" width="18" style="16" customWidth="1"/>
    <col min="9" max="9" width="18.83203125" style="16" customWidth="1"/>
    <col min="10" max="10" width="15.33203125" style="16" customWidth="1"/>
    <col min="11" max="11" width="14.83203125" style="16" customWidth="1"/>
    <col min="12" max="13" width="15.6640625" style="16" customWidth="1"/>
    <col min="14" max="14" width="18" style="17" bestFit="1" customWidth="1"/>
    <col min="15" max="15" width="16.83203125" style="18" bestFit="1" customWidth="1"/>
    <col min="16" max="16" width="17.83203125" style="14" customWidth="1"/>
    <col min="17" max="17" width="14.1640625" style="14" customWidth="1"/>
    <col min="18" max="18" width="14.5" style="14" customWidth="1"/>
    <col min="19" max="19" width="11.6640625" style="14" bestFit="1" customWidth="1"/>
    <col min="20" max="16384" width="9.33203125" style="14"/>
  </cols>
  <sheetData>
    <row r="1" spans="1:15" ht="28.5" customHeight="1" x14ac:dyDescent="0.25">
      <c r="A1" s="314" t="s">
        <v>484</v>
      </c>
      <c r="B1" s="315"/>
      <c r="C1" s="315"/>
      <c r="D1" s="315"/>
      <c r="E1" s="315"/>
      <c r="F1" s="316"/>
      <c r="G1" s="320" t="s">
        <v>307</v>
      </c>
      <c r="H1" s="321"/>
      <c r="I1" s="321"/>
      <c r="J1" s="321"/>
      <c r="K1" s="321"/>
      <c r="L1" s="321"/>
      <c r="M1" s="322"/>
      <c r="N1" s="323" t="s">
        <v>270</v>
      </c>
      <c r="O1" s="324"/>
    </row>
    <row r="2" spans="1:15" ht="28.5" customHeight="1" x14ac:dyDescent="0.25">
      <c r="A2" s="317"/>
      <c r="B2" s="318"/>
      <c r="C2" s="318"/>
      <c r="D2" s="318"/>
      <c r="E2" s="318"/>
      <c r="F2" s="319"/>
      <c r="G2" s="320" t="s">
        <v>342</v>
      </c>
      <c r="H2" s="321"/>
      <c r="I2" s="321"/>
      <c r="J2" s="321"/>
      <c r="K2" s="321"/>
      <c r="L2" s="321"/>
      <c r="M2" s="322"/>
      <c r="N2" s="325"/>
      <c r="O2" s="326"/>
    </row>
    <row r="3" spans="1:15" ht="47.25" x14ac:dyDescent="0.25">
      <c r="A3" s="34" t="s">
        <v>109</v>
      </c>
      <c r="B3" s="34" t="s">
        <v>259</v>
      </c>
      <c r="C3" s="34" t="s">
        <v>103</v>
      </c>
      <c r="D3" s="34" t="s">
        <v>104</v>
      </c>
      <c r="E3" s="34" t="s">
        <v>105</v>
      </c>
      <c r="F3" s="34" t="s">
        <v>106</v>
      </c>
      <c r="G3" s="128" t="s">
        <v>321</v>
      </c>
      <c r="H3" s="129" t="s">
        <v>304</v>
      </c>
      <c r="I3" s="129" t="s">
        <v>305</v>
      </c>
      <c r="J3" s="130" t="s">
        <v>486</v>
      </c>
      <c r="K3" s="130" t="s">
        <v>489</v>
      </c>
      <c r="L3" s="130" t="s">
        <v>490</v>
      </c>
      <c r="M3" s="130" t="s">
        <v>491</v>
      </c>
      <c r="N3" s="124" t="s">
        <v>108</v>
      </c>
      <c r="O3" s="125" t="s">
        <v>102</v>
      </c>
    </row>
    <row r="4" spans="1:15" ht="31.5" customHeight="1" x14ac:dyDescent="0.25">
      <c r="A4" s="21" t="s">
        <v>69</v>
      </c>
      <c r="B4" s="19" t="s">
        <v>483</v>
      </c>
      <c r="C4" s="15">
        <v>2</v>
      </c>
      <c r="D4" s="15">
        <v>4</v>
      </c>
      <c r="E4" s="313">
        <v>14</v>
      </c>
      <c r="F4" s="15">
        <f>D4*E4</f>
        <v>56</v>
      </c>
      <c r="G4" s="127" t="s">
        <v>291</v>
      </c>
      <c r="H4" s="127">
        <v>88.78</v>
      </c>
      <c r="I4" s="127" t="s">
        <v>291</v>
      </c>
      <c r="J4" s="127" t="s">
        <v>291</v>
      </c>
      <c r="K4" s="127">
        <v>47.9</v>
      </c>
      <c r="L4" s="127">
        <v>79.900000000000006</v>
      </c>
      <c r="M4" s="127" t="s">
        <v>291</v>
      </c>
      <c r="N4" s="126">
        <f>AVERAGE(H4,L4,K4)</f>
        <v>72.193333333333342</v>
      </c>
      <c r="O4" s="126">
        <f>SUM(N4*F4)</f>
        <v>4042.8266666666673</v>
      </c>
    </row>
    <row r="5" spans="1:15" ht="31.5" x14ac:dyDescent="0.25">
      <c r="A5" s="21" t="s">
        <v>70</v>
      </c>
      <c r="B5" s="20" t="s">
        <v>487</v>
      </c>
      <c r="C5" s="15">
        <v>2</v>
      </c>
      <c r="D5" s="15">
        <v>4</v>
      </c>
      <c r="E5" s="313"/>
      <c r="F5" s="15">
        <f>D5*E4</f>
        <v>56</v>
      </c>
      <c r="G5" s="127" t="s">
        <v>291</v>
      </c>
      <c r="H5" s="127" t="s">
        <v>291</v>
      </c>
      <c r="I5" s="127" t="s">
        <v>291</v>
      </c>
      <c r="J5" s="127">
        <v>57.79</v>
      </c>
      <c r="K5" s="127">
        <v>29.9</v>
      </c>
      <c r="L5" s="127">
        <v>55</v>
      </c>
      <c r="M5" s="127">
        <v>46.9</v>
      </c>
      <c r="N5" s="126">
        <f>AVERAGE(J5:M5)</f>
        <v>47.397500000000001</v>
      </c>
      <c r="O5" s="126">
        <f>SUM(N5*F5)</f>
        <v>2654.26</v>
      </c>
    </row>
    <row r="6" spans="1:15" ht="31.5" x14ac:dyDescent="0.25">
      <c r="A6" s="21" t="s">
        <v>481</v>
      </c>
      <c r="B6" s="20" t="s">
        <v>488</v>
      </c>
      <c r="C6" s="15">
        <v>1</v>
      </c>
      <c r="D6" s="15">
        <v>2</v>
      </c>
      <c r="E6" s="313"/>
      <c r="F6" s="15">
        <v>28</v>
      </c>
      <c r="G6" s="127" t="s">
        <v>291</v>
      </c>
      <c r="H6" s="127" t="s">
        <v>291</v>
      </c>
      <c r="I6" s="127" t="s">
        <v>291</v>
      </c>
      <c r="J6" s="127">
        <v>49.37</v>
      </c>
      <c r="K6" s="127">
        <v>21.9</v>
      </c>
      <c r="L6" s="127" t="s">
        <v>291</v>
      </c>
      <c r="M6" s="127">
        <v>41.9</v>
      </c>
      <c r="N6" s="126">
        <f>AVERAGE(J6:K6,M6)</f>
        <v>37.723333333333329</v>
      </c>
      <c r="O6" s="126">
        <f>SUM(N6*F6)</f>
        <v>1056.2533333333331</v>
      </c>
    </row>
    <row r="7" spans="1:15" ht="23.25" customHeight="1" x14ac:dyDescent="0.25">
      <c r="A7" s="21" t="s">
        <v>71</v>
      </c>
      <c r="B7" s="20" t="s">
        <v>485</v>
      </c>
      <c r="C7" s="15">
        <v>1</v>
      </c>
      <c r="D7" s="15">
        <v>2</v>
      </c>
      <c r="E7" s="313"/>
      <c r="F7" s="15">
        <f>D7*E4</f>
        <v>28</v>
      </c>
      <c r="G7" s="127">
        <v>45.51</v>
      </c>
      <c r="H7" s="127">
        <v>62.11</v>
      </c>
      <c r="I7" s="127">
        <v>58.88</v>
      </c>
      <c r="J7" s="127" t="s">
        <v>291</v>
      </c>
      <c r="K7" s="127" t="s">
        <v>291</v>
      </c>
      <c r="L7" s="127" t="s">
        <v>291</v>
      </c>
      <c r="M7" s="127" t="s">
        <v>291</v>
      </c>
      <c r="N7" s="126">
        <f>AVERAGE(G7:I7)</f>
        <v>55.5</v>
      </c>
      <c r="O7" s="126">
        <f>SUM(N7*F7)</f>
        <v>1554</v>
      </c>
    </row>
    <row r="8" spans="1:15" ht="23.25" customHeight="1" x14ac:dyDescent="0.25">
      <c r="A8" s="310" t="s">
        <v>492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2"/>
      <c r="O8" s="131">
        <f>SUM(O4:O7)</f>
        <v>9307.34</v>
      </c>
    </row>
    <row r="9" spans="1:15" ht="27.75" customHeight="1" x14ac:dyDescent="0.25">
      <c r="A9" s="310" t="s">
        <v>107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2"/>
      <c r="O9" s="131">
        <f>O8/14/12</f>
        <v>55.400833333333338</v>
      </c>
    </row>
  </sheetData>
  <mergeCells count="7">
    <mergeCell ref="A8:N8"/>
    <mergeCell ref="A9:N9"/>
    <mergeCell ref="E4:E7"/>
    <mergeCell ref="A1:F2"/>
    <mergeCell ref="G1:M1"/>
    <mergeCell ref="G2:M2"/>
    <mergeCell ref="N1:O2"/>
  </mergeCells>
  <pageMargins left="0.51181102362204722" right="0.51181102362204722" top="1.3779527559055118" bottom="0.78740157480314965" header="0.31496062992125984" footer="0.31496062992125984"/>
  <pageSetup paperSize="9" scale="57" orientation="portrait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AB79"/>
  <sheetViews>
    <sheetView topLeftCell="C46" zoomScale="80" zoomScaleNormal="80" zoomScaleSheetLayoutView="100" workbookViewId="0">
      <selection activeCell="A74" sqref="A74:AA74"/>
    </sheetView>
  </sheetViews>
  <sheetFormatPr defaultRowHeight="15.75" x14ac:dyDescent="0.2"/>
  <cols>
    <col min="1" max="1" width="9.33203125" style="6" customWidth="1"/>
    <col min="2" max="2" width="93.6640625" style="118" customWidth="1"/>
    <col min="3" max="3" width="10.5" style="1" customWidth="1"/>
    <col min="4" max="4" width="10" style="1" customWidth="1"/>
    <col min="5" max="5" width="12.6640625" style="1" customWidth="1"/>
    <col min="6" max="6" width="16.6640625" style="1" customWidth="1"/>
    <col min="7" max="7" width="16.33203125" style="1" customWidth="1"/>
    <col min="8" max="8" width="15.6640625" style="1" customWidth="1"/>
    <col min="9" max="9" width="13.6640625" style="115" customWidth="1"/>
    <col min="10" max="10" width="17.5" style="115" customWidth="1"/>
    <col min="11" max="12" width="15" style="115" customWidth="1"/>
    <col min="13" max="13" width="18.1640625" style="115" customWidth="1"/>
    <col min="14" max="14" width="19.5" style="115" customWidth="1"/>
    <col min="15" max="15" width="12.5" style="115" customWidth="1"/>
    <col min="16" max="16" width="12.6640625" style="115" customWidth="1"/>
    <col min="17" max="17" width="12.1640625" style="115" customWidth="1"/>
    <col min="18" max="18" width="12" style="115" customWidth="1"/>
    <col min="19" max="25" width="12.83203125" style="115" customWidth="1"/>
    <col min="26" max="26" width="14.6640625" style="115" customWidth="1"/>
    <col min="27" max="27" width="18.5" style="115" customWidth="1"/>
    <col min="28" max="28" width="20" style="117" customWidth="1"/>
    <col min="29" max="16384" width="9.33203125" style="1"/>
  </cols>
  <sheetData>
    <row r="1" spans="1:28" ht="26.25" customHeight="1" x14ac:dyDescent="0.2">
      <c r="A1" s="333" t="s">
        <v>189</v>
      </c>
      <c r="B1" s="333"/>
      <c r="C1" s="333"/>
      <c r="D1" s="333"/>
      <c r="E1" s="327" t="s">
        <v>307</v>
      </c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9"/>
      <c r="AA1" s="331" t="s">
        <v>270</v>
      </c>
      <c r="AB1" s="331"/>
    </row>
    <row r="2" spans="1:28" ht="20.25" customHeight="1" x14ac:dyDescent="0.2">
      <c r="A2" s="333"/>
      <c r="B2" s="333"/>
      <c r="C2" s="333"/>
      <c r="D2" s="333"/>
      <c r="E2" s="334" t="s">
        <v>313</v>
      </c>
      <c r="F2" s="330" t="s">
        <v>342</v>
      </c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1"/>
      <c r="AB2" s="331"/>
    </row>
    <row r="3" spans="1:28" ht="47.25" customHeight="1" x14ac:dyDescent="0.2">
      <c r="A3" s="119" t="s">
        <v>109</v>
      </c>
      <c r="B3" s="119" t="s">
        <v>190</v>
      </c>
      <c r="C3" s="119" t="s">
        <v>110</v>
      </c>
      <c r="D3" s="119" t="s">
        <v>111</v>
      </c>
      <c r="E3" s="335"/>
      <c r="F3" s="133" t="s">
        <v>383</v>
      </c>
      <c r="G3" s="133" t="s">
        <v>384</v>
      </c>
      <c r="H3" s="133" t="s">
        <v>386</v>
      </c>
      <c r="I3" s="134" t="s">
        <v>304</v>
      </c>
      <c r="J3" s="134" t="s">
        <v>305</v>
      </c>
      <c r="K3" s="135" t="s">
        <v>345</v>
      </c>
      <c r="L3" s="135" t="s">
        <v>368</v>
      </c>
      <c r="M3" s="135" t="s">
        <v>369</v>
      </c>
      <c r="N3" s="135" t="s">
        <v>381</v>
      </c>
      <c r="O3" s="135" t="s">
        <v>292</v>
      </c>
      <c r="P3" s="135" t="s">
        <v>358</v>
      </c>
      <c r="Q3" s="135" t="s">
        <v>302</v>
      </c>
      <c r="R3" s="135" t="s">
        <v>357</v>
      </c>
      <c r="S3" s="135" t="s">
        <v>301</v>
      </c>
      <c r="T3" s="135" t="s">
        <v>300</v>
      </c>
      <c r="U3" s="135" t="s">
        <v>388</v>
      </c>
      <c r="V3" s="135" t="s">
        <v>391</v>
      </c>
      <c r="W3" s="135" t="s">
        <v>392</v>
      </c>
      <c r="X3" s="135" t="s">
        <v>360</v>
      </c>
      <c r="Y3" s="135" t="s">
        <v>361</v>
      </c>
      <c r="Z3" s="135" t="s">
        <v>372</v>
      </c>
      <c r="AA3" s="120" t="s">
        <v>108</v>
      </c>
      <c r="AB3" s="121" t="s">
        <v>28</v>
      </c>
    </row>
    <row r="4" spans="1:28" x14ac:dyDescent="0.2">
      <c r="A4" s="108">
        <v>1</v>
      </c>
      <c r="B4" s="109" t="s">
        <v>346</v>
      </c>
      <c r="C4" s="110" t="s">
        <v>112</v>
      </c>
      <c r="D4" s="108">
        <v>6</v>
      </c>
      <c r="E4" s="108" t="s">
        <v>291</v>
      </c>
      <c r="F4" s="108" t="s">
        <v>291</v>
      </c>
      <c r="G4" s="108" t="s">
        <v>291</v>
      </c>
      <c r="H4" s="108" t="s">
        <v>291</v>
      </c>
      <c r="I4" s="100">
        <v>84.33</v>
      </c>
      <c r="J4" s="100">
        <v>66.56</v>
      </c>
      <c r="K4" s="111" t="s">
        <v>291</v>
      </c>
      <c r="L4" s="111" t="s">
        <v>291</v>
      </c>
      <c r="M4" s="111" t="s">
        <v>291</v>
      </c>
      <c r="N4" s="111" t="s">
        <v>291</v>
      </c>
      <c r="O4" s="111" t="s">
        <v>291</v>
      </c>
      <c r="P4" s="111">
        <v>69.900000000000006</v>
      </c>
      <c r="Q4" s="111" t="s">
        <v>291</v>
      </c>
      <c r="R4" s="111" t="s">
        <v>291</v>
      </c>
      <c r="S4" s="111" t="s">
        <v>291</v>
      </c>
      <c r="T4" s="111" t="s">
        <v>291</v>
      </c>
      <c r="U4" s="111" t="s">
        <v>291</v>
      </c>
      <c r="V4" s="111" t="s">
        <v>291</v>
      </c>
      <c r="W4" s="111" t="s">
        <v>291</v>
      </c>
      <c r="X4" s="111" t="s">
        <v>291</v>
      </c>
      <c r="Y4" s="111" t="s">
        <v>291</v>
      </c>
      <c r="Z4" s="111" t="s">
        <v>291</v>
      </c>
      <c r="AA4" s="120">
        <f>AVERAGE(I4,J4,P4)</f>
        <v>73.596666666666664</v>
      </c>
      <c r="AB4" s="122">
        <f t="shared" ref="AB4:AB35" si="0">AA4*D4</f>
        <v>441.58</v>
      </c>
    </row>
    <row r="5" spans="1:28" x14ac:dyDescent="0.2">
      <c r="A5" s="108">
        <v>2</v>
      </c>
      <c r="B5" s="109" t="s">
        <v>347</v>
      </c>
      <c r="C5" s="110" t="s">
        <v>112</v>
      </c>
      <c r="D5" s="108">
        <v>6</v>
      </c>
      <c r="E5" s="111">
        <v>39.89</v>
      </c>
      <c r="F5" s="108" t="s">
        <v>291</v>
      </c>
      <c r="G5" s="108" t="s">
        <v>291</v>
      </c>
      <c r="H5" s="108" t="s">
        <v>291</v>
      </c>
      <c r="I5" s="111">
        <v>31.81</v>
      </c>
      <c r="J5" s="111">
        <v>28.88</v>
      </c>
      <c r="K5" s="111">
        <v>36.9</v>
      </c>
      <c r="L5" s="111" t="s">
        <v>291</v>
      </c>
      <c r="M5" s="111" t="s">
        <v>291</v>
      </c>
      <c r="N5" s="111" t="s">
        <v>291</v>
      </c>
      <c r="O5" s="111" t="s">
        <v>291</v>
      </c>
      <c r="P5" s="111" t="s">
        <v>291</v>
      </c>
      <c r="Q5" s="111" t="s">
        <v>291</v>
      </c>
      <c r="R5" s="111" t="s">
        <v>291</v>
      </c>
      <c r="S5" s="111" t="s">
        <v>291</v>
      </c>
      <c r="T5" s="111" t="s">
        <v>291</v>
      </c>
      <c r="U5" s="111" t="s">
        <v>291</v>
      </c>
      <c r="V5" s="111" t="s">
        <v>291</v>
      </c>
      <c r="W5" s="111" t="s">
        <v>291</v>
      </c>
      <c r="X5" s="111" t="s">
        <v>291</v>
      </c>
      <c r="Y5" s="111" t="s">
        <v>291</v>
      </c>
      <c r="Z5" s="111" t="s">
        <v>291</v>
      </c>
      <c r="AA5" s="120">
        <f>SUM(E5:P5)/4</f>
        <v>34.369999999999997</v>
      </c>
      <c r="AB5" s="122">
        <f t="shared" si="0"/>
        <v>206.21999999999997</v>
      </c>
    </row>
    <row r="6" spans="1:28" x14ac:dyDescent="0.2">
      <c r="A6" s="108">
        <v>3</v>
      </c>
      <c r="B6" s="109" t="s">
        <v>348</v>
      </c>
      <c r="C6" s="110" t="s">
        <v>112</v>
      </c>
      <c r="D6" s="108">
        <v>6</v>
      </c>
      <c r="E6" s="111" t="s">
        <v>291</v>
      </c>
      <c r="F6" s="108" t="s">
        <v>291</v>
      </c>
      <c r="G6" s="108" t="s">
        <v>291</v>
      </c>
      <c r="H6" s="108" t="s">
        <v>291</v>
      </c>
      <c r="I6" s="111">
        <v>25.34</v>
      </c>
      <c r="J6" s="111">
        <v>29.99</v>
      </c>
      <c r="K6" s="111" t="s">
        <v>291</v>
      </c>
      <c r="L6" s="111" t="s">
        <v>291</v>
      </c>
      <c r="M6" s="111" t="s">
        <v>291</v>
      </c>
      <c r="N6" s="111" t="s">
        <v>291</v>
      </c>
      <c r="O6" s="111" t="s">
        <v>291</v>
      </c>
      <c r="P6" s="111">
        <v>31.16</v>
      </c>
      <c r="Q6" s="111" t="s">
        <v>291</v>
      </c>
      <c r="R6" s="111" t="s">
        <v>291</v>
      </c>
      <c r="S6" s="111" t="s">
        <v>291</v>
      </c>
      <c r="T6" s="111" t="s">
        <v>291</v>
      </c>
      <c r="U6" s="111" t="s">
        <v>291</v>
      </c>
      <c r="V6" s="111" t="s">
        <v>291</v>
      </c>
      <c r="W6" s="111" t="s">
        <v>291</v>
      </c>
      <c r="X6" s="111" t="s">
        <v>291</v>
      </c>
      <c r="Y6" s="111" t="s">
        <v>291</v>
      </c>
      <c r="Z6" s="111" t="s">
        <v>291</v>
      </c>
      <c r="AA6" s="120">
        <f>SUM(E6:P6)/3</f>
        <v>28.83</v>
      </c>
      <c r="AB6" s="122">
        <f t="shared" si="0"/>
        <v>172.98</v>
      </c>
    </row>
    <row r="7" spans="1:28" x14ac:dyDescent="0.2">
      <c r="A7" s="108">
        <v>4</v>
      </c>
      <c r="B7" s="109" t="s">
        <v>191</v>
      </c>
      <c r="C7" s="110" t="s">
        <v>112</v>
      </c>
      <c r="D7" s="108">
        <v>6</v>
      </c>
      <c r="E7" s="111" t="s">
        <v>291</v>
      </c>
      <c r="F7" s="108" t="s">
        <v>291</v>
      </c>
      <c r="G7" s="108" t="s">
        <v>291</v>
      </c>
      <c r="H7" s="108" t="s">
        <v>291</v>
      </c>
      <c r="I7" s="111">
        <v>19.989999999999998</v>
      </c>
      <c r="J7" s="111">
        <v>27.77</v>
      </c>
      <c r="K7" s="111">
        <v>28.22</v>
      </c>
      <c r="L7" s="111" t="s">
        <v>291</v>
      </c>
      <c r="M7" s="111" t="s">
        <v>291</v>
      </c>
      <c r="N7" s="111" t="s">
        <v>291</v>
      </c>
      <c r="O7" s="111" t="s">
        <v>291</v>
      </c>
      <c r="P7" s="111" t="s">
        <v>291</v>
      </c>
      <c r="Q7" s="111" t="s">
        <v>291</v>
      </c>
      <c r="R7" s="111" t="s">
        <v>291</v>
      </c>
      <c r="S7" s="111" t="s">
        <v>291</v>
      </c>
      <c r="T7" s="111" t="s">
        <v>291</v>
      </c>
      <c r="U7" s="111" t="s">
        <v>291</v>
      </c>
      <c r="V7" s="111" t="s">
        <v>291</v>
      </c>
      <c r="W7" s="111" t="s">
        <v>291</v>
      </c>
      <c r="X7" s="111" t="s">
        <v>291</v>
      </c>
      <c r="Y7" s="111" t="s">
        <v>291</v>
      </c>
      <c r="Z7" s="111" t="s">
        <v>291</v>
      </c>
      <c r="AA7" s="120">
        <f>SUM(E7:P7)/3</f>
        <v>25.326666666666664</v>
      </c>
      <c r="AB7" s="122">
        <f t="shared" si="0"/>
        <v>151.95999999999998</v>
      </c>
    </row>
    <row r="8" spans="1:28" x14ac:dyDescent="0.2">
      <c r="A8" s="108">
        <v>5</v>
      </c>
      <c r="B8" s="109" t="s">
        <v>349</v>
      </c>
      <c r="C8" s="110" t="s">
        <v>112</v>
      </c>
      <c r="D8" s="108">
        <v>6</v>
      </c>
      <c r="E8" s="111" t="s">
        <v>291</v>
      </c>
      <c r="F8" s="108" t="s">
        <v>291</v>
      </c>
      <c r="G8" s="108" t="s">
        <v>291</v>
      </c>
      <c r="H8" s="108" t="s">
        <v>291</v>
      </c>
      <c r="I8" s="111" t="s">
        <v>291</v>
      </c>
      <c r="J8" s="111" t="s">
        <v>291</v>
      </c>
      <c r="K8" s="111" t="s">
        <v>291</v>
      </c>
      <c r="L8" s="111" t="s">
        <v>291</v>
      </c>
      <c r="M8" s="111" t="s">
        <v>291</v>
      </c>
      <c r="N8" s="111" t="s">
        <v>291</v>
      </c>
      <c r="O8" s="111">
        <v>36.9</v>
      </c>
      <c r="P8" s="111" t="s">
        <v>291</v>
      </c>
      <c r="Q8" s="111">
        <v>32.4</v>
      </c>
      <c r="R8" s="111">
        <v>41.7</v>
      </c>
      <c r="S8" s="111" t="s">
        <v>291</v>
      </c>
      <c r="T8" s="111" t="s">
        <v>291</v>
      </c>
      <c r="U8" s="111" t="s">
        <v>291</v>
      </c>
      <c r="V8" s="111" t="s">
        <v>291</v>
      </c>
      <c r="W8" s="111" t="s">
        <v>291</v>
      </c>
      <c r="X8" s="111" t="s">
        <v>291</v>
      </c>
      <c r="Y8" s="111" t="s">
        <v>291</v>
      </c>
      <c r="Z8" s="111" t="s">
        <v>291</v>
      </c>
      <c r="AA8" s="120">
        <v>25.33</v>
      </c>
      <c r="AB8" s="122">
        <f t="shared" si="0"/>
        <v>151.97999999999999</v>
      </c>
    </row>
    <row r="9" spans="1:28" x14ac:dyDescent="0.2">
      <c r="A9" s="108">
        <v>6</v>
      </c>
      <c r="B9" s="109" t="s">
        <v>350</v>
      </c>
      <c r="C9" s="110" t="s">
        <v>112</v>
      </c>
      <c r="D9" s="108">
        <v>2</v>
      </c>
      <c r="E9" s="111" t="s">
        <v>291</v>
      </c>
      <c r="F9" s="108" t="s">
        <v>291</v>
      </c>
      <c r="G9" s="108" t="s">
        <v>291</v>
      </c>
      <c r="H9" s="108" t="s">
        <v>291</v>
      </c>
      <c r="I9" s="111">
        <v>25.56</v>
      </c>
      <c r="J9" s="111" t="s">
        <v>291</v>
      </c>
      <c r="K9" s="111">
        <v>33.159999999999997</v>
      </c>
      <c r="L9" s="111" t="s">
        <v>291</v>
      </c>
      <c r="M9" s="111" t="s">
        <v>291</v>
      </c>
      <c r="N9" s="111" t="s">
        <v>291</v>
      </c>
      <c r="O9" s="111" t="s">
        <v>291</v>
      </c>
      <c r="P9" s="111">
        <v>38.840000000000003</v>
      </c>
      <c r="Q9" s="111" t="s">
        <v>291</v>
      </c>
      <c r="R9" s="111" t="s">
        <v>291</v>
      </c>
      <c r="S9" s="111" t="s">
        <v>291</v>
      </c>
      <c r="T9" s="111" t="s">
        <v>291</v>
      </c>
      <c r="U9" s="111" t="s">
        <v>291</v>
      </c>
      <c r="V9" s="111" t="s">
        <v>291</v>
      </c>
      <c r="W9" s="111" t="s">
        <v>291</v>
      </c>
      <c r="X9" s="111" t="s">
        <v>291</v>
      </c>
      <c r="Y9" s="111" t="s">
        <v>291</v>
      </c>
      <c r="Z9" s="111" t="s">
        <v>291</v>
      </c>
      <c r="AA9" s="120">
        <f>SUM(E9:R9)/3</f>
        <v>32.520000000000003</v>
      </c>
      <c r="AB9" s="122">
        <f t="shared" si="0"/>
        <v>65.040000000000006</v>
      </c>
    </row>
    <row r="10" spans="1:28" x14ac:dyDescent="0.2">
      <c r="A10" s="108">
        <v>7</v>
      </c>
      <c r="B10" s="109" t="s">
        <v>351</v>
      </c>
      <c r="C10" s="110" t="s">
        <v>112</v>
      </c>
      <c r="D10" s="108">
        <v>6</v>
      </c>
      <c r="E10" s="111">
        <v>54.7</v>
      </c>
      <c r="F10" s="108" t="s">
        <v>291</v>
      </c>
      <c r="G10" s="108" t="s">
        <v>291</v>
      </c>
      <c r="H10" s="108" t="s">
        <v>291</v>
      </c>
      <c r="I10" s="111">
        <v>34.33</v>
      </c>
      <c r="J10" s="111">
        <v>31.1</v>
      </c>
      <c r="K10" s="111">
        <v>39.96</v>
      </c>
      <c r="L10" s="111" t="s">
        <v>291</v>
      </c>
      <c r="M10" s="111" t="s">
        <v>291</v>
      </c>
      <c r="N10" s="111" t="s">
        <v>291</v>
      </c>
      <c r="O10" s="111" t="s">
        <v>291</v>
      </c>
      <c r="P10" s="111" t="s">
        <v>291</v>
      </c>
      <c r="Q10" s="111" t="s">
        <v>291</v>
      </c>
      <c r="R10" s="111" t="s">
        <v>291</v>
      </c>
      <c r="S10" s="111" t="s">
        <v>291</v>
      </c>
      <c r="T10" s="111" t="s">
        <v>291</v>
      </c>
      <c r="U10" s="111" t="s">
        <v>291</v>
      </c>
      <c r="V10" s="111" t="s">
        <v>291</v>
      </c>
      <c r="W10" s="111" t="s">
        <v>291</v>
      </c>
      <c r="X10" s="111" t="s">
        <v>291</v>
      </c>
      <c r="Y10" s="111" t="s">
        <v>291</v>
      </c>
      <c r="Z10" s="111" t="s">
        <v>291</v>
      </c>
      <c r="AA10" s="120">
        <f>SUM(E10:R10)/4</f>
        <v>40.022500000000001</v>
      </c>
      <c r="AB10" s="122">
        <f t="shared" si="0"/>
        <v>240.13499999999999</v>
      </c>
    </row>
    <row r="11" spans="1:28" x14ac:dyDescent="0.2">
      <c r="A11" s="108">
        <v>8</v>
      </c>
      <c r="B11" s="109" t="s">
        <v>367</v>
      </c>
      <c r="C11" s="110" t="s">
        <v>112</v>
      </c>
      <c r="D11" s="108">
        <v>6</v>
      </c>
      <c r="E11" s="111" t="s">
        <v>291</v>
      </c>
      <c r="F11" s="108" t="s">
        <v>291</v>
      </c>
      <c r="G11" s="108" t="s">
        <v>291</v>
      </c>
      <c r="H11" s="108" t="s">
        <v>291</v>
      </c>
      <c r="I11" s="111">
        <v>111.9</v>
      </c>
      <c r="J11" s="111">
        <v>120.99</v>
      </c>
      <c r="K11" s="111">
        <v>133.30000000000001</v>
      </c>
      <c r="L11" s="111" t="s">
        <v>291</v>
      </c>
      <c r="M11" s="111" t="s">
        <v>291</v>
      </c>
      <c r="N11" s="111" t="s">
        <v>291</v>
      </c>
      <c r="O11" s="111" t="s">
        <v>291</v>
      </c>
      <c r="P11" s="111" t="s">
        <v>291</v>
      </c>
      <c r="Q11" s="111" t="s">
        <v>291</v>
      </c>
      <c r="R11" s="111" t="s">
        <v>291</v>
      </c>
      <c r="S11" s="111" t="s">
        <v>291</v>
      </c>
      <c r="T11" s="111" t="s">
        <v>291</v>
      </c>
      <c r="U11" s="111" t="s">
        <v>291</v>
      </c>
      <c r="V11" s="111" t="s">
        <v>291</v>
      </c>
      <c r="W11" s="111" t="s">
        <v>291</v>
      </c>
      <c r="X11" s="111" t="s">
        <v>291</v>
      </c>
      <c r="Y11" s="111" t="s">
        <v>291</v>
      </c>
      <c r="Z11" s="111" t="s">
        <v>291</v>
      </c>
      <c r="AA11" s="120">
        <f>SUM(E11:R11)/3</f>
        <v>122.06333333333333</v>
      </c>
      <c r="AB11" s="122">
        <f t="shared" si="0"/>
        <v>732.38</v>
      </c>
    </row>
    <row r="12" spans="1:28" x14ac:dyDescent="0.2">
      <c r="A12" s="108">
        <v>9</v>
      </c>
      <c r="B12" s="109" t="s">
        <v>352</v>
      </c>
      <c r="C12" s="110" t="s">
        <v>112</v>
      </c>
      <c r="D12" s="108">
        <v>3</v>
      </c>
      <c r="E12" s="111">
        <v>43.86</v>
      </c>
      <c r="F12" s="108" t="s">
        <v>291</v>
      </c>
      <c r="G12" s="108" t="s">
        <v>291</v>
      </c>
      <c r="H12" s="108" t="s">
        <v>291</v>
      </c>
      <c r="I12" s="111" t="s">
        <v>291</v>
      </c>
      <c r="J12" s="111">
        <v>38.880000000000003</v>
      </c>
      <c r="K12" s="111" t="s">
        <v>291</v>
      </c>
      <c r="L12" s="111" t="s">
        <v>291</v>
      </c>
      <c r="M12" s="111" t="s">
        <v>291</v>
      </c>
      <c r="N12" s="111" t="s">
        <v>291</v>
      </c>
      <c r="O12" s="111" t="s">
        <v>291</v>
      </c>
      <c r="P12" s="111">
        <v>39.89</v>
      </c>
      <c r="Q12" s="111" t="s">
        <v>291</v>
      </c>
      <c r="R12" s="111" t="s">
        <v>291</v>
      </c>
      <c r="S12" s="111" t="s">
        <v>291</v>
      </c>
      <c r="T12" s="111" t="s">
        <v>291</v>
      </c>
      <c r="U12" s="111" t="s">
        <v>291</v>
      </c>
      <c r="V12" s="111" t="s">
        <v>291</v>
      </c>
      <c r="W12" s="111" t="s">
        <v>291</v>
      </c>
      <c r="X12" s="111" t="s">
        <v>291</v>
      </c>
      <c r="Y12" s="111" t="s">
        <v>291</v>
      </c>
      <c r="Z12" s="111" t="s">
        <v>291</v>
      </c>
      <c r="AA12" s="120">
        <f>SUM(E12:R12)/3</f>
        <v>40.876666666666672</v>
      </c>
      <c r="AB12" s="122">
        <f t="shared" si="0"/>
        <v>122.63000000000002</v>
      </c>
    </row>
    <row r="13" spans="1:28" x14ac:dyDescent="0.2">
      <c r="A13" s="108">
        <v>10</v>
      </c>
      <c r="B13" s="109" t="s">
        <v>353</v>
      </c>
      <c r="C13" s="110" t="s">
        <v>112</v>
      </c>
      <c r="D13" s="108">
        <v>2</v>
      </c>
      <c r="E13" s="111" t="s">
        <v>291</v>
      </c>
      <c r="F13" s="108" t="s">
        <v>291</v>
      </c>
      <c r="G13" s="108" t="s">
        <v>291</v>
      </c>
      <c r="H13" s="108" t="s">
        <v>291</v>
      </c>
      <c r="I13" s="111">
        <v>14.16</v>
      </c>
      <c r="J13" s="111">
        <v>13.99</v>
      </c>
      <c r="K13" s="111" t="s">
        <v>291</v>
      </c>
      <c r="L13" s="111">
        <v>13.12</v>
      </c>
      <c r="M13" s="111" t="s">
        <v>291</v>
      </c>
      <c r="N13" s="111" t="s">
        <v>291</v>
      </c>
      <c r="O13" s="111" t="s">
        <v>291</v>
      </c>
      <c r="P13" s="111" t="s">
        <v>291</v>
      </c>
      <c r="Q13" s="111" t="s">
        <v>291</v>
      </c>
      <c r="R13" s="111" t="s">
        <v>291</v>
      </c>
      <c r="S13" s="111" t="s">
        <v>291</v>
      </c>
      <c r="T13" s="111" t="s">
        <v>291</v>
      </c>
      <c r="U13" s="111" t="s">
        <v>291</v>
      </c>
      <c r="V13" s="111" t="s">
        <v>291</v>
      </c>
      <c r="W13" s="111" t="s">
        <v>291</v>
      </c>
      <c r="X13" s="111" t="s">
        <v>291</v>
      </c>
      <c r="Y13" s="111" t="s">
        <v>291</v>
      </c>
      <c r="Z13" s="111" t="s">
        <v>291</v>
      </c>
      <c r="AA13" s="120">
        <f>SUM(E13:R13)/3</f>
        <v>13.756666666666666</v>
      </c>
      <c r="AB13" s="122">
        <f t="shared" si="0"/>
        <v>27.513333333333332</v>
      </c>
    </row>
    <row r="14" spans="1:28" x14ac:dyDescent="0.2">
      <c r="A14" s="108">
        <v>11</v>
      </c>
      <c r="B14" s="109" t="s">
        <v>354</v>
      </c>
      <c r="C14" s="110" t="s">
        <v>112</v>
      </c>
      <c r="D14" s="108">
        <v>2</v>
      </c>
      <c r="E14" s="111" t="s">
        <v>291</v>
      </c>
      <c r="F14" s="108" t="s">
        <v>291</v>
      </c>
      <c r="G14" s="108" t="s">
        <v>291</v>
      </c>
      <c r="H14" s="108" t="s">
        <v>291</v>
      </c>
      <c r="I14" s="111" t="s">
        <v>291</v>
      </c>
      <c r="J14" s="111">
        <v>474.99</v>
      </c>
      <c r="K14" s="111">
        <v>444.33</v>
      </c>
      <c r="L14" s="111" t="s">
        <v>291</v>
      </c>
      <c r="M14" s="111" t="s">
        <v>291</v>
      </c>
      <c r="N14" s="111" t="s">
        <v>291</v>
      </c>
      <c r="O14" s="111">
        <v>399</v>
      </c>
      <c r="P14" s="111" t="s">
        <v>291</v>
      </c>
      <c r="Q14" s="111" t="s">
        <v>291</v>
      </c>
      <c r="R14" s="111" t="s">
        <v>291</v>
      </c>
      <c r="S14" s="111" t="s">
        <v>291</v>
      </c>
      <c r="T14" s="111" t="s">
        <v>291</v>
      </c>
      <c r="U14" s="111" t="s">
        <v>291</v>
      </c>
      <c r="V14" s="111" t="s">
        <v>291</v>
      </c>
      <c r="W14" s="111" t="s">
        <v>291</v>
      </c>
      <c r="X14" s="111" t="s">
        <v>291</v>
      </c>
      <c r="Y14" s="111" t="s">
        <v>291</v>
      </c>
      <c r="Z14" s="111" t="s">
        <v>291</v>
      </c>
      <c r="AA14" s="120">
        <f>SUM(E14:R14)/3</f>
        <v>439.44</v>
      </c>
      <c r="AB14" s="122">
        <f t="shared" si="0"/>
        <v>878.88</v>
      </c>
    </row>
    <row r="15" spans="1:28" x14ac:dyDescent="0.2">
      <c r="A15" s="108">
        <v>12</v>
      </c>
      <c r="B15" s="109" t="s">
        <v>283</v>
      </c>
      <c r="C15" s="110" t="s">
        <v>112</v>
      </c>
      <c r="D15" s="108">
        <v>6</v>
      </c>
      <c r="E15" s="111" t="s">
        <v>291</v>
      </c>
      <c r="F15" s="108" t="s">
        <v>291</v>
      </c>
      <c r="G15" s="108" t="s">
        <v>291</v>
      </c>
      <c r="H15" s="108" t="s">
        <v>291</v>
      </c>
      <c r="I15" s="111">
        <v>11.93</v>
      </c>
      <c r="J15" s="111" t="s">
        <v>291</v>
      </c>
      <c r="K15" s="111">
        <v>11.61</v>
      </c>
      <c r="L15" s="111" t="s">
        <v>291</v>
      </c>
      <c r="M15" s="111" t="s">
        <v>291</v>
      </c>
      <c r="N15" s="111" t="s">
        <v>291</v>
      </c>
      <c r="O15" s="111" t="s">
        <v>291</v>
      </c>
      <c r="P15" s="111">
        <v>13.9</v>
      </c>
      <c r="Q15" s="111" t="s">
        <v>291</v>
      </c>
      <c r="R15" s="111" t="s">
        <v>291</v>
      </c>
      <c r="S15" s="111" t="s">
        <v>291</v>
      </c>
      <c r="T15" s="111" t="s">
        <v>291</v>
      </c>
      <c r="U15" s="111" t="s">
        <v>291</v>
      </c>
      <c r="V15" s="111" t="s">
        <v>291</v>
      </c>
      <c r="W15" s="111" t="s">
        <v>291</v>
      </c>
      <c r="X15" s="111" t="s">
        <v>291</v>
      </c>
      <c r="Y15" s="111" t="s">
        <v>291</v>
      </c>
      <c r="Z15" s="111" t="s">
        <v>291</v>
      </c>
      <c r="AA15" s="120">
        <f>SUM(E15:S15)/3</f>
        <v>12.479999999999999</v>
      </c>
      <c r="AB15" s="122">
        <f t="shared" si="0"/>
        <v>74.88</v>
      </c>
    </row>
    <row r="16" spans="1:28" x14ac:dyDescent="0.2">
      <c r="A16" s="108">
        <v>13</v>
      </c>
      <c r="B16" s="109" t="s">
        <v>355</v>
      </c>
      <c r="C16" s="110" t="s">
        <v>112</v>
      </c>
      <c r="D16" s="108">
        <v>4</v>
      </c>
      <c r="E16" s="111" t="s">
        <v>291</v>
      </c>
      <c r="F16" s="108" t="s">
        <v>291</v>
      </c>
      <c r="G16" s="108" t="s">
        <v>291</v>
      </c>
      <c r="H16" s="108" t="s">
        <v>291</v>
      </c>
      <c r="I16" s="111" t="s">
        <v>291</v>
      </c>
      <c r="J16" s="111" t="s">
        <v>291</v>
      </c>
      <c r="K16" s="111" t="s">
        <v>291</v>
      </c>
      <c r="L16" s="111" t="s">
        <v>291</v>
      </c>
      <c r="M16" s="111" t="s">
        <v>291</v>
      </c>
      <c r="N16" s="111" t="s">
        <v>291</v>
      </c>
      <c r="O16" s="111">
        <v>139</v>
      </c>
      <c r="P16" s="111" t="s">
        <v>291</v>
      </c>
      <c r="Q16" s="111">
        <v>149.9</v>
      </c>
      <c r="R16" s="111" t="s">
        <v>291</v>
      </c>
      <c r="S16" s="111">
        <v>227.85</v>
      </c>
      <c r="T16" s="111" t="s">
        <v>291</v>
      </c>
      <c r="U16" s="111" t="s">
        <v>291</v>
      </c>
      <c r="V16" s="111" t="s">
        <v>291</v>
      </c>
      <c r="W16" s="111" t="s">
        <v>291</v>
      </c>
      <c r="X16" s="111" t="s">
        <v>291</v>
      </c>
      <c r="Y16" s="111" t="s">
        <v>291</v>
      </c>
      <c r="Z16" s="111" t="s">
        <v>291</v>
      </c>
      <c r="AA16" s="120">
        <f>SUM(E16:S16)/3</f>
        <v>172.25</v>
      </c>
      <c r="AB16" s="122">
        <f t="shared" si="0"/>
        <v>689</v>
      </c>
    </row>
    <row r="17" spans="1:28" x14ac:dyDescent="0.2">
      <c r="A17" s="108">
        <v>14</v>
      </c>
      <c r="B17" s="109" t="s">
        <v>192</v>
      </c>
      <c r="C17" s="110" t="s">
        <v>112</v>
      </c>
      <c r="D17" s="108">
        <v>2</v>
      </c>
      <c r="E17" s="111" t="s">
        <v>291</v>
      </c>
      <c r="F17" s="108" t="s">
        <v>291</v>
      </c>
      <c r="G17" s="108" t="s">
        <v>291</v>
      </c>
      <c r="H17" s="108" t="s">
        <v>291</v>
      </c>
      <c r="I17" s="111" t="s">
        <v>291</v>
      </c>
      <c r="J17" s="111" t="s">
        <v>291</v>
      </c>
      <c r="K17" s="111" t="s">
        <v>291</v>
      </c>
      <c r="L17" s="111" t="s">
        <v>291</v>
      </c>
      <c r="M17" s="111" t="s">
        <v>291</v>
      </c>
      <c r="N17" s="111" t="s">
        <v>291</v>
      </c>
      <c r="O17" s="111">
        <v>745</v>
      </c>
      <c r="P17" s="111" t="s">
        <v>291</v>
      </c>
      <c r="Q17" s="111">
        <v>803.5</v>
      </c>
      <c r="R17" s="111" t="s">
        <v>291</v>
      </c>
      <c r="S17" s="111">
        <v>847.4</v>
      </c>
      <c r="T17" s="111" t="s">
        <v>291</v>
      </c>
      <c r="U17" s="111" t="s">
        <v>291</v>
      </c>
      <c r="V17" s="111" t="s">
        <v>291</v>
      </c>
      <c r="W17" s="111" t="s">
        <v>291</v>
      </c>
      <c r="X17" s="111" t="s">
        <v>291</v>
      </c>
      <c r="Y17" s="111" t="s">
        <v>291</v>
      </c>
      <c r="Z17" s="111" t="s">
        <v>291</v>
      </c>
      <c r="AA17" s="120">
        <f>SUM(E17:S17)/3</f>
        <v>798.63333333333333</v>
      </c>
      <c r="AB17" s="122">
        <f t="shared" si="0"/>
        <v>1597.2666666666667</v>
      </c>
    </row>
    <row r="18" spans="1:28" x14ac:dyDescent="0.2">
      <c r="A18" s="108">
        <v>15</v>
      </c>
      <c r="B18" s="109" t="s">
        <v>356</v>
      </c>
      <c r="C18" s="110" t="s">
        <v>112</v>
      </c>
      <c r="D18" s="108">
        <v>6</v>
      </c>
      <c r="E18" s="111" t="s">
        <v>291</v>
      </c>
      <c r="F18" s="108" t="s">
        <v>291</v>
      </c>
      <c r="G18" s="108" t="s">
        <v>291</v>
      </c>
      <c r="H18" s="108" t="s">
        <v>291</v>
      </c>
      <c r="I18" s="111" t="s">
        <v>291</v>
      </c>
      <c r="J18" s="111" t="s">
        <v>291</v>
      </c>
      <c r="K18" s="111" t="s">
        <v>291</v>
      </c>
      <c r="L18" s="111" t="s">
        <v>291</v>
      </c>
      <c r="M18" s="111" t="s">
        <v>291</v>
      </c>
      <c r="N18" s="111" t="s">
        <v>291</v>
      </c>
      <c r="O18" s="111">
        <v>170.99</v>
      </c>
      <c r="P18" s="111">
        <v>259.89999999999998</v>
      </c>
      <c r="Q18" s="111">
        <v>119.9</v>
      </c>
      <c r="R18" s="111" t="s">
        <v>291</v>
      </c>
      <c r="S18" s="111" t="s">
        <v>291</v>
      </c>
      <c r="T18" s="111" t="s">
        <v>291</v>
      </c>
      <c r="U18" s="111" t="s">
        <v>291</v>
      </c>
      <c r="V18" s="111" t="s">
        <v>291</v>
      </c>
      <c r="W18" s="111" t="s">
        <v>291</v>
      </c>
      <c r="X18" s="111" t="s">
        <v>291</v>
      </c>
      <c r="Y18" s="111" t="s">
        <v>291</v>
      </c>
      <c r="Z18" s="111" t="s">
        <v>291</v>
      </c>
      <c r="AA18" s="120">
        <f>SUM(E18:S18)/3</f>
        <v>183.59666666666666</v>
      </c>
      <c r="AB18" s="122">
        <f t="shared" si="0"/>
        <v>1101.58</v>
      </c>
    </row>
    <row r="19" spans="1:28" x14ac:dyDescent="0.2">
      <c r="A19" s="108">
        <v>16</v>
      </c>
      <c r="B19" s="109" t="s">
        <v>359</v>
      </c>
      <c r="C19" s="110" t="s">
        <v>112</v>
      </c>
      <c r="D19" s="108">
        <v>2</v>
      </c>
      <c r="E19" s="111" t="s">
        <v>291</v>
      </c>
      <c r="F19" s="108" t="s">
        <v>291</v>
      </c>
      <c r="G19" s="108" t="s">
        <v>291</v>
      </c>
      <c r="H19" s="108" t="s">
        <v>291</v>
      </c>
      <c r="I19" s="111">
        <v>929.9</v>
      </c>
      <c r="J19" s="111">
        <v>829.99</v>
      </c>
      <c r="K19" s="111">
        <v>750.5</v>
      </c>
      <c r="L19" s="111" t="s">
        <v>291</v>
      </c>
      <c r="M19" s="111" t="s">
        <v>291</v>
      </c>
      <c r="N19" s="111" t="s">
        <v>291</v>
      </c>
      <c r="O19" s="111" t="s">
        <v>291</v>
      </c>
      <c r="P19" s="111" t="s">
        <v>291</v>
      </c>
      <c r="Q19" s="111" t="s">
        <v>291</v>
      </c>
      <c r="R19" s="111" t="s">
        <v>291</v>
      </c>
      <c r="S19" s="111" t="s">
        <v>291</v>
      </c>
      <c r="T19" s="111" t="s">
        <v>291</v>
      </c>
      <c r="U19" s="111" t="s">
        <v>291</v>
      </c>
      <c r="V19" s="111" t="s">
        <v>291</v>
      </c>
      <c r="W19" s="111" t="s">
        <v>291</v>
      </c>
      <c r="X19" s="111" t="s">
        <v>291</v>
      </c>
      <c r="Y19" s="111" t="s">
        <v>291</v>
      </c>
      <c r="Z19" s="111" t="s">
        <v>291</v>
      </c>
      <c r="AA19" s="120">
        <f>SUM(E19:S19)/3</f>
        <v>836.79666666666662</v>
      </c>
      <c r="AB19" s="122">
        <f t="shared" si="0"/>
        <v>1673.5933333333332</v>
      </c>
    </row>
    <row r="20" spans="1:28" x14ac:dyDescent="0.2">
      <c r="A20" s="108">
        <v>17</v>
      </c>
      <c r="B20" s="109" t="s">
        <v>193</v>
      </c>
      <c r="C20" s="110" t="s">
        <v>112</v>
      </c>
      <c r="D20" s="108">
        <v>1</v>
      </c>
      <c r="E20" s="111" t="s">
        <v>291</v>
      </c>
      <c r="F20" s="108" t="s">
        <v>291</v>
      </c>
      <c r="G20" s="108" t="s">
        <v>291</v>
      </c>
      <c r="H20" s="108" t="s">
        <v>291</v>
      </c>
      <c r="I20" s="111" t="s">
        <v>291</v>
      </c>
      <c r="J20" s="111" t="s">
        <v>291</v>
      </c>
      <c r="K20" s="111" t="s">
        <v>291</v>
      </c>
      <c r="L20" s="111" t="s">
        <v>291</v>
      </c>
      <c r="M20" s="111" t="s">
        <v>291</v>
      </c>
      <c r="N20" s="111" t="s">
        <v>291</v>
      </c>
      <c r="O20" s="111" t="s">
        <v>291</v>
      </c>
      <c r="P20" s="111" t="s">
        <v>291</v>
      </c>
      <c r="Q20" s="111" t="s">
        <v>291</v>
      </c>
      <c r="R20" s="111" t="s">
        <v>291</v>
      </c>
      <c r="S20" s="111" t="s">
        <v>291</v>
      </c>
      <c r="T20" s="111" t="s">
        <v>291</v>
      </c>
      <c r="U20" s="111" t="s">
        <v>291</v>
      </c>
      <c r="V20" s="111" t="s">
        <v>291</v>
      </c>
      <c r="W20" s="111" t="s">
        <v>291</v>
      </c>
      <c r="X20" s="111">
        <v>2320</v>
      </c>
      <c r="Y20" s="111">
        <v>2534.83</v>
      </c>
      <c r="Z20" s="111">
        <v>2384</v>
      </c>
      <c r="AA20" s="120">
        <f t="shared" ref="AA20:AA33" si="1">SUM(E20:Z20)/3</f>
        <v>2412.9433333333332</v>
      </c>
      <c r="AB20" s="122">
        <f t="shared" si="0"/>
        <v>2412.9433333333332</v>
      </c>
    </row>
    <row r="21" spans="1:28" x14ac:dyDescent="0.2">
      <c r="A21" s="108">
        <v>18</v>
      </c>
      <c r="B21" s="109" t="s">
        <v>371</v>
      </c>
      <c r="C21" s="110" t="s">
        <v>112</v>
      </c>
      <c r="D21" s="108">
        <v>1</v>
      </c>
      <c r="E21" s="111" t="s">
        <v>291</v>
      </c>
      <c r="F21" s="108" t="s">
        <v>291</v>
      </c>
      <c r="G21" s="108" t="s">
        <v>291</v>
      </c>
      <c r="H21" s="108" t="s">
        <v>291</v>
      </c>
      <c r="I21" s="108" t="s">
        <v>291</v>
      </c>
      <c r="J21" s="108" t="s">
        <v>291</v>
      </c>
      <c r="K21" s="108" t="s">
        <v>291</v>
      </c>
      <c r="L21" s="108" t="s">
        <v>291</v>
      </c>
      <c r="M21" s="108" t="s">
        <v>291</v>
      </c>
      <c r="N21" s="108" t="s">
        <v>291</v>
      </c>
      <c r="O21" s="108" t="s">
        <v>291</v>
      </c>
      <c r="P21" s="108" t="s">
        <v>291</v>
      </c>
      <c r="Q21" s="108" t="s">
        <v>291</v>
      </c>
      <c r="R21" s="108" t="s">
        <v>291</v>
      </c>
      <c r="S21" s="108" t="s">
        <v>291</v>
      </c>
      <c r="T21" s="108" t="s">
        <v>291</v>
      </c>
      <c r="U21" s="108" t="s">
        <v>291</v>
      </c>
      <c r="V21" s="111" t="s">
        <v>291</v>
      </c>
      <c r="W21" s="111" t="s">
        <v>291</v>
      </c>
      <c r="X21" s="111">
        <v>1416</v>
      </c>
      <c r="Y21" s="111">
        <v>1717.31</v>
      </c>
      <c r="Z21" s="111">
        <v>1488</v>
      </c>
      <c r="AA21" s="120">
        <f t="shared" si="1"/>
        <v>1540.4366666666665</v>
      </c>
      <c r="AB21" s="122">
        <f t="shared" si="0"/>
        <v>1540.4366666666665</v>
      </c>
    </row>
    <row r="22" spans="1:28" ht="63" x14ac:dyDescent="0.2">
      <c r="A22" s="108">
        <v>19</v>
      </c>
      <c r="B22" s="99" t="s">
        <v>261</v>
      </c>
      <c r="C22" s="110" t="s">
        <v>112</v>
      </c>
      <c r="D22" s="108">
        <v>1</v>
      </c>
      <c r="E22" s="111" t="s">
        <v>291</v>
      </c>
      <c r="F22" s="108" t="s">
        <v>291</v>
      </c>
      <c r="G22" s="108" t="s">
        <v>291</v>
      </c>
      <c r="H22" s="108" t="s">
        <v>291</v>
      </c>
      <c r="I22" s="111">
        <v>2657.9</v>
      </c>
      <c r="J22" s="111">
        <v>2899.99</v>
      </c>
      <c r="K22" s="111">
        <v>2699</v>
      </c>
      <c r="L22" s="111" t="s">
        <v>291</v>
      </c>
      <c r="M22" s="111" t="s">
        <v>291</v>
      </c>
      <c r="N22" s="111" t="s">
        <v>291</v>
      </c>
      <c r="O22" s="111" t="s">
        <v>291</v>
      </c>
      <c r="P22" s="111" t="s">
        <v>291</v>
      </c>
      <c r="Q22" s="111" t="s">
        <v>291</v>
      </c>
      <c r="R22" s="111" t="s">
        <v>291</v>
      </c>
      <c r="S22" s="111" t="s">
        <v>291</v>
      </c>
      <c r="T22" s="111" t="s">
        <v>291</v>
      </c>
      <c r="U22" s="111" t="s">
        <v>291</v>
      </c>
      <c r="V22" s="111" t="s">
        <v>291</v>
      </c>
      <c r="W22" s="111" t="s">
        <v>291</v>
      </c>
      <c r="X22" s="111" t="s">
        <v>291</v>
      </c>
      <c r="Y22" s="111" t="s">
        <v>291</v>
      </c>
      <c r="Z22" s="111" t="s">
        <v>291</v>
      </c>
      <c r="AA22" s="120">
        <f t="shared" si="1"/>
        <v>2752.2966666666666</v>
      </c>
      <c r="AB22" s="122">
        <f t="shared" si="0"/>
        <v>2752.2966666666666</v>
      </c>
    </row>
    <row r="23" spans="1:28" x14ac:dyDescent="0.2">
      <c r="A23" s="108">
        <v>20</v>
      </c>
      <c r="B23" s="109" t="s">
        <v>194</v>
      </c>
      <c r="C23" s="110" t="s">
        <v>112</v>
      </c>
      <c r="D23" s="112">
        <v>6</v>
      </c>
      <c r="E23" s="111" t="s">
        <v>291</v>
      </c>
      <c r="F23" s="108" t="s">
        <v>291</v>
      </c>
      <c r="G23" s="108" t="s">
        <v>291</v>
      </c>
      <c r="H23" s="108" t="s">
        <v>291</v>
      </c>
      <c r="I23" s="113">
        <v>105.88</v>
      </c>
      <c r="J23" s="113">
        <v>108.99</v>
      </c>
      <c r="K23" s="113">
        <v>104.9</v>
      </c>
      <c r="L23" s="111" t="s">
        <v>291</v>
      </c>
      <c r="M23" s="111" t="s">
        <v>291</v>
      </c>
      <c r="N23" s="111" t="s">
        <v>291</v>
      </c>
      <c r="O23" s="111" t="s">
        <v>291</v>
      </c>
      <c r="P23" s="111" t="s">
        <v>291</v>
      </c>
      <c r="Q23" s="111" t="s">
        <v>291</v>
      </c>
      <c r="R23" s="111" t="s">
        <v>291</v>
      </c>
      <c r="S23" s="111" t="s">
        <v>291</v>
      </c>
      <c r="T23" s="111" t="s">
        <v>291</v>
      </c>
      <c r="U23" s="111" t="s">
        <v>291</v>
      </c>
      <c r="V23" s="111" t="s">
        <v>291</v>
      </c>
      <c r="W23" s="111" t="s">
        <v>291</v>
      </c>
      <c r="X23" s="111" t="s">
        <v>291</v>
      </c>
      <c r="Y23" s="111" t="s">
        <v>291</v>
      </c>
      <c r="Z23" s="111" t="s">
        <v>291</v>
      </c>
      <c r="AA23" s="120">
        <f t="shared" si="1"/>
        <v>106.58999999999999</v>
      </c>
      <c r="AB23" s="123">
        <f t="shared" si="0"/>
        <v>639.54</v>
      </c>
    </row>
    <row r="24" spans="1:28" x14ac:dyDescent="0.2">
      <c r="A24" s="108">
        <v>21</v>
      </c>
      <c r="B24" s="109" t="s">
        <v>195</v>
      </c>
      <c r="C24" s="110" t="s">
        <v>112</v>
      </c>
      <c r="D24" s="112">
        <v>6</v>
      </c>
      <c r="E24" s="111" t="s">
        <v>291</v>
      </c>
      <c r="F24" s="108" t="s">
        <v>291</v>
      </c>
      <c r="G24" s="108" t="s">
        <v>291</v>
      </c>
      <c r="H24" s="108" t="s">
        <v>291</v>
      </c>
      <c r="I24" s="113">
        <v>27.67</v>
      </c>
      <c r="J24" s="113">
        <v>23.32</v>
      </c>
      <c r="K24" s="113">
        <v>24.61</v>
      </c>
      <c r="L24" s="111" t="s">
        <v>291</v>
      </c>
      <c r="M24" s="111" t="s">
        <v>291</v>
      </c>
      <c r="N24" s="111" t="s">
        <v>291</v>
      </c>
      <c r="O24" s="111" t="s">
        <v>291</v>
      </c>
      <c r="P24" s="111" t="s">
        <v>291</v>
      </c>
      <c r="Q24" s="111" t="s">
        <v>291</v>
      </c>
      <c r="R24" s="111" t="s">
        <v>291</v>
      </c>
      <c r="S24" s="111" t="s">
        <v>291</v>
      </c>
      <c r="T24" s="111" t="s">
        <v>291</v>
      </c>
      <c r="U24" s="111" t="s">
        <v>291</v>
      </c>
      <c r="V24" s="111" t="s">
        <v>291</v>
      </c>
      <c r="W24" s="111" t="s">
        <v>291</v>
      </c>
      <c r="X24" s="111" t="s">
        <v>291</v>
      </c>
      <c r="Y24" s="111" t="s">
        <v>291</v>
      </c>
      <c r="Z24" s="111" t="s">
        <v>291</v>
      </c>
      <c r="AA24" s="120">
        <f t="shared" si="1"/>
        <v>25.2</v>
      </c>
      <c r="AB24" s="123">
        <f t="shared" si="0"/>
        <v>151.19999999999999</v>
      </c>
    </row>
    <row r="25" spans="1:28" x14ac:dyDescent="0.2">
      <c r="A25" s="108">
        <v>22</v>
      </c>
      <c r="B25" s="109" t="s">
        <v>196</v>
      </c>
      <c r="C25" s="110" t="s">
        <v>112</v>
      </c>
      <c r="D25" s="112">
        <v>6</v>
      </c>
      <c r="E25" s="111" t="s">
        <v>291</v>
      </c>
      <c r="F25" s="108" t="s">
        <v>291</v>
      </c>
      <c r="G25" s="108" t="s">
        <v>291</v>
      </c>
      <c r="H25" s="108" t="s">
        <v>291</v>
      </c>
      <c r="I25" s="113">
        <v>23.22</v>
      </c>
      <c r="J25" s="113">
        <v>21.1</v>
      </c>
      <c r="K25" s="113">
        <v>21.76</v>
      </c>
      <c r="L25" s="111" t="s">
        <v>291</v>
      </c>
      <c r="M25" s="111" t="s">
        <v>291</v>
      </c>
      <c r="N25" s="111" t="s">
        <v>291</v>
      </c>
      <c r="O25" s="111" t="s">
        <v>291</v>
      </c>
      <c r="P25" s="111" t="s">
        <v>291</v>
      </c>
      <c r="Q25" s="111" t="s">
        <v>291</v>
      </c>
      <c r="R25" s="111" t="s">
        <v>291</v>
      </c>
      <c r="S25" s="111" t="s">
        <v>291</v>
      </c>
      <c r="T25" s="111" t="s">
        <v>291</v>
      </c>
      <c r="U25" s="111" t="s">
        <v>291</v>
      </c>
      <c r="V25" s="111" t="s">
        <v>291</v>
      </c>
      <c r="W25" s="111" t="s">
        <v>291</v>
      </c>
      <c r="X25" s="111" t="s">
        <v>291</v>
      </c>
      <c r="Y25" s="111" t="s">
        <v>291</v>
      </c>
      <c r="Z25" s="111" t="s">
        <v>291</v>
      </c>
      <c r="AA25" s="120">
        <f t="shared" si="1"/>
        <v>22.026666666666667</v>
      </c>
      <c r="AB25" s="123">
        <f t="shared" si="0"/>
        <v>132.16</v>
      </c>
    </row>
    <row r="26" spans="1:28" x14ac:dyDescent="0.2">
      <c r="A26" s="108">
        <v>23</v>
      </c>
      <c r="B26" s="109" t="s">
        <v>197</v>
      </c>
      <c r="C26" s="110" t="s">
        <v>112</v>
      </c>
      <c r="D26" s="112">
        <v>6</v>
      </c>
      <c r="E26" s="111" t="s">
        <v>291</v>
      </c>
      <c r="F26" s="108" t="s">
        <v>291</v>
      </c>
      <c r="G26" s="108" t="s">
        <v>291</v>
      </c>
      <c r="H26" s="108" t="s">
        <v>291</v>
      </c>
      <c r="I26" s="113">
        <v>53.9</v>
      </c>
      <c r="J26" s="113" t="s">
        <v>291</v>
      </c>
      <c r="K26" s="113">
        <v>56.96</v>
      </c>
      <c r="L26" s="111" t="s">
        <v>291</v>
      </c>
      <c r="M26" s="111" t="s">
        <v>291</v>
      </c>
      <c r="N26" s="111" t="s">
        <v>291</v>
      </c>
      <c r="O26" s="111" t="s">
        <v>291</v>
      </c>
      <c r="P26" s="113">
        <v>52.11</v>
      </c>
      <c r="Q26" s="111" t="s">
        <v>291</v>
      </c>
      <c r="R26" s="111" t="s">
        <v>291</v>
      </c>
      <c r="S26" s="111" t="s">
        <v>291</v>
      </c>
      <c r="T26" s="111" t="s">
        <v>291</v>
      </c>
      <c r="U26" s="111" t="s">
        <v>291</v>
      </c>
      <c r="V26" s="111" t="s">
        <v>291</v>
      </c>
      <c r="W26" s="111" t="s">
        <v>291</v>
      </c>
      <c r="X26" s="111" t="s">
        <v>291</v>
      </c>
      <c r="Y26" s="111" t="s">
        <v>291</v>
      </c>
      <c r="Z26" s="111" t="s">
        <v>291</v>
      </c>
      <c r="AA26" s="120">
        <f t="shared" si="1"/>
        <v>54.323333333333331</v>
      </c>
      <c r="AB26" s="123">
        <f t="shared" si="0"/>
        <v>325.94</v>
      </c>
    </row>
    <row r="27" spans="1:28" x14ac:dyDescent="0.2">
      <c r="A27" s="108">
        <v>24</v>
      </c>
      <c r="B27" s="109" t="s">
        <v>198</v>
      </c>
      <c r="C27" s="110" t="s">
        <v>112</v>
      </c>
      <c r="D27" s="112">
        <v>6</v>
      </c>
      <c r="E27" s="111" t="s">
        <v>291</v>
      </c>
      <c r="F27" s="108" t="s">
        <v>291</v>
      </c>
      <c r="G27" s="108" t="s">
        <v>291</v>
      </c>
      <c r="H27" s="108" t="s">
        <v>291</v>
      </c>
      <c r="I27" s="113">
        <v>25.44</v>
      </c>
      <c r="J27" s="113">
        <v>21.1</v>
      </c>
      <c r="K27" s="113">
        <v>20.81</v>
      </c>
      <c r="L27" s="111" t="s">
        <v>291</v>
      </c>
      <c r="M27" s="111" t="s">
        <v>291</v>
      </c>
      <c r="N27" s="111" t="s">
        <v>291</v>
      </c>
      <c r="O27" s="111" t="s">
        <v>291</v>
      </c>
      <c r="P27" s="113" t="s">
        <v>291</v>
      </c>
      <c r="Q27" s="111" t="s">
        <v>291</v>
      </c>
      <c r="R27" s="111" t="s">
        <v>291</v>
      </c>
      <c r="S27" s="111" t="s">
        <v>291</v>
      </c>
      <c r="T27" s="111" t="s">
        <v>291</v>
      </c>
      <c r="U27" s="111" t="s">
        <v>291</v>
      </c>
      <c r="V27" s="111" t="s">
        <v>291</v>
      </c>
      <c r="W27" s="111" t="s">
        <v>291</v>
      </c>
      <c r="X27" s="111" t="s">
        <v>291</v>
      </c>
      <c r="Y27" s="111" t="s">
        <v>291</v>
      </c>
      <c r="Z27" s="111" t="s">
        <v>291</v>
      </c>
      <c r="AA27" s="120">
        <f t="shared" si="1"/>
        <v>22.450000000000003</v>
      </c>
      <c r="AB27" s="123">
        <f t="shared" si="0"/>
        <v>134.70000000000002</v>
      </c>
    </row>
    <row r="28" spans="1:28" x14ac:dyDescent="0.2">
      <c r="A28" s="108">
        <v>25</v>
      </c>
      <c r="B28" s="109" t="s">
        <v>199</v>
      </c>
      <c r="C28" s="110" t="s">
        <v>112</v>
      </c>
      <c r="D28" s="112">
        <v>6</v>
      </c>
      <c r="E28" s="111" t="s">
        <v>291</v>
      </c>
      <c r="F28" s="108" t="s">
        <v>291</v>
      </c>
      <c r="G28" s="108" t="s">
        <v>291</v>
      </c>
      <c r="H28" s="108" t="s">
        <v>291</v>
      </c>
      <c r="I28" s="113">
        <v>19.89</v>
      </c>
      <c r="J28" s="113" t="s">
        <v>291</v>
      </c>
      <c r="K28" s="113" t="s">
        <v>291</v>
      </c>
      <c r="L28" s="113">
        <v>15.83</v>
      </c>
      <c r="M28" s="113">
        <v>14.8</v>
      </c>
      <c r="N28" s="111" t="s">
        <v>291</v>
      </c>
      <c r="O28" s="111" t="s">
        <v>291</v>
      </c>
      <c r="P28" s="113" t="s">
        <v>291</v>
      </c>
      <c r="Q28" s="111" t="s">
        <v>291</v>
      </c>
      <c r="R28" s="111" t="s">
        <v>291</v>
      </c>
      <c r="S28" s="111" t="s">
        <v>291</v>
      </c>
      <c r="T28" s="111" t="s">
        <v>291</v>
      </c>
      <c r="U28" s="111" t="s">
        <v>291</v>
      </c>
      <c r="V28" s="111" t="s">
        <v>291</v>
      </c>
      <c r="W28" s="111" t="s">
        <v>291</v>
      </c>
      <c r="X28" s="111" t="s">
        <v>291</v>
      </c>
      <c r="Y28" s="111" t="s">
        <v>291</v>
      </c>
      <c r="Z28" s="111" t="s">
        <v>291</v>
      </c>
      <c r="AA28" s="120">
        <f t="shared" si="1"/>
        <v>16.84</v>
      </c>
      <c r="AB28" s="123">
        <f t="shared" si="0"/>
        <v>101.03999999999999</v>
      </c>
    </row>
    <row r="29" spans="1:28" x14ac:dyDescent="0.2">
      <c r="A29" s="108">
        <v>26</v>
      </c>
      <c r="B29" s="109" t="s">
        <v>200</v>
      </c>
      <c r="C29" s="110" t="s">
        <v>112</v>
      </c>
      <c r="D29" s="112">
        <v>6</v>
      </c>
      <c r="E29" s="111" t="s">
        <v>291</v>
      </c>
      <c r="F29" s="108" t="s">
        <v>291</v>
      </c>
      <c r="G29" s="108" t="s">
        <v>291</v>
      </c>
      <c r="H29" s="108" t="s">
        <v>291</v>
      </c>
      <c r="I29" s="113">
        <v>17.670000000000002</v>
      </c>
      <c r="J29" s="113" t="s">
        <v>291</v>
      </c>
      <c r="K29" s="113">
        <v>11.31</v>
      </c>
      <c r="L29" s="113" t="s">
        <v>291</v>
      </c>
      <c r="M29" s="113">
        <v>11.4</v>
      </c>
      <c r="N29" s="111" t="s">
        <v>291</v>
      </c>
      <c r="O29" s="111" t="s">
        <v>291</v>
      </c>
      <c r="P29" s="113" t="s">
        <v>291</v>
      </c>
      <c r="Q29" s="111" t="s">
        <v>291</v>
      </c>
      <c r="R29" s="111" t="s">
        <v>291</v>
      </c>
      <c r="S29" s="111" t="s">
        <v>291</v>
      </c>
      <c r="T29" s="111" t="s">
        <v>291</v>
      </c>
      <c r="U29" s="111" t="s">
        <v>291</v>
      </c>
      <c r="V29" s="111" t="s">
        <v>291</v>
      </c>
      <c r="W29" s="111" t="s">
        <v>291</v>
      </c>
      <c r="X29" s="111" t="s">
        <v>291</v>
      </c>
      <c r="Y29" s="111" t="s">
        <v>291</v>
      </c>
      <c r="Z29" s="111" t="s">
        <v>291</v>
      </c>
      <c r="AA29" s="120">
        <f t="shared" si="1"/>
        <v>13.46</v>
      </c>
      <c r="AB29" s="123">
        <f t="shared" si="0"/>
        <v>80.760000000000005</v>
      </c>
    </row>
    <row r="30" spans="1:28" x14ac:dyDescent="0.2">
      <c r="A30" s="108">
        <v>27</v>
      </c>
      <c r="B30" s="109" t="s">
        <v>201</v>
      </c>
      <c r="C30" s="110" t="s">
        <v>112</v>
      </c>
      <c r="D30" s="112">
        <v>6</v>
      </c>
      <c r="E30" s="111" t="s">
        <v>291</v>
      </c>
      <c r="F30" s="108" t="s">
        <v>291</v>
      </c>
      <c r="G30" s="108" t="s">
        <v>291</v>
      </c>
      <c r="H30" s="108" t="s">
        <v>291</v>
      </c>
      <c r="I30" s="113">
        <v>27.67</v>
      </c>
      <c r="J30" s="113">
        <v>25.54</v>
      </c>
      <c r="K30" s="113">
        <v>21.76</v>
      </c>
      <c r="L30" s="113" t="s">
        <v>291</v>
      </c>
      <c r="M30" s="113" t="s">
        <v>291</v>
      </c>
      <c r="N30" s="113" t="s">
        <v>291</v>
      </c>
      <c r="O30" s="113" t="s">
        <v>291</v>
      </c>
      <c r="P30" s="113" t="s">
        <v>291</v>
      </c>
      <c r="Q30" s="113" t="s">
        <v>291</v>
      </c>
      <c r="R30" s="113" t="s">
        <v>291</v>
      </c>
      <c r="S30" s="113" t="s">
        <v>291</v>
      </c>
      <c r="T30" s="111" t="s">
        <v>291</v>
      </c>
      <c r="U30" s="111" t="s">
        <v>291</v>
      </c>
      <c r="V30" s="111" t="s">
        <v>291</v>
      </c>
      <c r="W30" s="111" t="s">
        <v>291</v>
      </c>
      <c r="X30" s="113" t="s">
        <v>291</v>
      </c>
      <c r="Y30" s="113" t="s">
        <v>291</v>
      </c>
      <c r="Z30" s="113" t="s">
        <v>291</v>
      </c>
      <c r="AA30" s="120">
        <f t="shared" si="1"/>
        <v>24.99</v>
      </c>
      <c r="AB30" s="123">
        <f t="shared" si="0"/>
        <v>149.94</v>
      </c>
    </row>
    <row r="31" spans="1:28" x14ac:dyDescent="0.2">
      <c r="A31" s="108">
        <v>28</v>
      </c>
      <c r="B31" s="109" t="s">
        <v>202</v>
      </c>
      <c r="C31" s="110" t="s">
        <v>112</v>
      </c>
      <c r="D31" s="112">
        <v>6</v>
      </c>
      <c r="E31" s="111" t="s">
        <v>291</v>
      </c>
      <c r="F31" s="108" t="s">
        <v>291</v>
      </c>
      <c r="G31" s="108" t="s">
        <v>291</v>
      </c>
      <c r="H31" s="108" t="s">
        <v>291</v>
      </c>
      <c r="I31" s="113" t="s">
        <v>291</v>
      </c>
      <c r="J31" s="113">
        <v>20.99</v>
      </c>
      <c r="K31" s="113">
        <v>14.16</v>
      </c>
      <c r="L31" s="113" t="s">
        <v>291</v>
      </c>
      <c r="M31" s="113">
        <v>18.899999999999999</v>
      </c>
      <c r="N31" s="113" t="s">
        <v>291</v>
      </c>
      <c r="O31" s="113" t="s">
        <v>291</v>
      </c>
      <c r="P31" s="113" t="s">
        <v>291</v>
      </c>
      <c r="Q31" s="113" t="s">
        <v>291</v>
      </c>
      <c r="R31" s="113" t="s">
        <v>291</v>
      </c>
      <c r="S31" s="113" t="s">
        <v>291</v>
      </c>
      <c r="T31" s="113" t="s">
        <v>291</v>
      </c>
      <c r="U31" s="113" t="s">
        <v>291</v>
      </c>
      <c r="V31" s="111" t="s">
        <v>291</v>
      </c>
      <c r="W31" s="111" t="s">
        <v>291</v>
      </c>
      <c r="X31" s="113" t="s">
        <v>291</v>
      </c>
      <c r="Y31" s="113" t="s">
        <v>291</v>
      </c>
      <c r="Z31" s="113" t="s">
        <v>291</v>
      </c>
      <c r="AA31" s="120">
        <f t="shared" si="1"/>
        <v>18.016666666666666</v>
      </c>
      <c r="AB31" s="123">
        <f t="shared" si="0"/>
        <v>108.1</v>
      </c>
    </row>
    <row r="32" spans="1:28" x14ac:dyDescent="0.2">
      <c r="A32" s="108">
        <v>29</v>
      </c>
      <c r="B32" s="109" t="s">
        <v>203</v>
      </c>
      <c r="C32" s="110" t="s">
        <v>112</v>
      </c>
      <c r="D32" s="112">
        <v>6</v>
      </c>
      <c r="E32" s="111" t="s">
        <v>291</v>
      </c>
      <c r="F32" s="108" t="s">
        <v>291</v>
      </c>
      <c r="G32" s="108" t="s">
        <v>291</v>
      </c>
      <c r="H32" s="108" t="s">
        <v>291</v>
      </c>
      <c r="I32" s="113">
        <v>14.9</v>
      </c>
      <c r="J32" s="113" t="s">
        <v>291</v>
      </c>
      <c r="K32" s="113">
        <v>14.16</v>
      </c>
      <c r="L32" s="113" t="s">
        <v>291</v>
      </c>
      <c r="M32" s="113">
        <v>13.44</v>
      </c>
      <c r="N32" s="113" t="s">
        <v>291</v>
      </c>
      <c r="O32" s="113" t="s">
        <v>291</v>
      </c>
      <c r="P32" s="113" t="s">
        <v>291</v>
      </c>
      <c r="Q32" s="113" t="s">
        <v>291</v>
      </c>
      <c r="R32" s="113" t="s">
        <v>291</v>
      </c>
      <c r="S32" s="113" t="s">
        <v>291</v>
      </c>
      <c r="T32" s="113" t="s">
        <v>291</v>
      </c>
      <c r="U32" s="113" t="s">
        <v>291</v>
      </c>
      <c r="V32" s="111" t="s">
        <v>291</v>
      </c>
      <c r="W32" s="111" t="s">
        <v>291</v>
      </c>
      <c r="X32" s="113" t="s">
        <v>291</v>
      </c>
      <c r="Y32" s="113" t="s">
        <v>291</v>
      </c>
      <c r="Z32" s="113" t="s">
        <v>291</v>
      </c>
      <c r="AA32" s="120">
        <f t="shared" si="1"/>
        <v>14.166666666666666</v>
      </c>
      <c r="AB32" s="123">
        <f t="shared" si="0"/>
        <v>85</v>
      </c>
    </row>
    <row r="33" spans="1:28" x14ac:dyDescent="0.2">
      <c r="A33" s="108">
        <v>30</v>
      </c>
      <c r="B33" s="109" t="s">
        <v>204</v>
      </c>
      <c r="C33" s="110" t="s">
        <v>112</v>
      </c>
      <c r="D33" s="112">
        <v>6</v>
      </c>
      <c r="E33" s="111" t="s">
        <v>291</v>
      </c>
      <c r="F33" s="108" t="s">
        <v>291</v>
      </c>
      <c r="G33" s="108" t="s">
        <v>291</v>
      </c>
      <c r="H33" s="108" t="s">
        <v>291</v>
      </c>
      <c r="I33" s="113">
        <v>14.67</v>
      </c>
      <c r="J33" s="113">
        <v>8.43</v>
      </c>
      <c r="K33" s="113">
        <v>11.31</v>
      </c>
      <c r="L33" s="113" t="s">
        <v>291</v>
      </c>
      <c r="M33" s="113" t="s">
        <v>291</v>
      </c>
      <c r="N33" s="113"/>
      <c r="O33" s="113" t="s">
        <v>291</v>
      </c>
      <c r="P33" s="113" t="s">
        <v>291</v>
      </c>
      <c r="Q33" s="113" t="s">
        <v>291</v>
      </c>
      <c r="R33" s="113" t="s">
        <v>291</v>
      </c>
      <c r="S33" s="113" t="s">
        <v>291</v>
      </c>
      <c r="T33" s="113"/>
      <c r="U33" s="113"/>
      <c r="V33" s="111" t="s">
        <v>291</v>
      </c>
      <c r="W33" s="111" t="s">
        <v>291</v>
      </c>
      <c r="X33" s="113" t="s">
        <v>291</v>
      </c>
      <c r="Y33" s="113" t="s">
        <v>291</v>
      </c>
      <c r="Z33" s="113" t="s">
        <v>291</v>
      </c>
      <c r="AA33" s="120">
        <f t="shared" si="1"/>
        <v>11.47</v>
      </c>
      <c r="AB33" s="123">
        <f t="shared" si="0"/>
        <v>68.820000000000007</v>
      </c>
    </row>
    <row r="34" spans="1:28" ht="15.75" customHeight="1" x14ac:dyDescent="0.2">
      <c r="A34" s="108">
        <v>31</v>
      </c>
      <c r="B34" s="109" t="s">
        <v>205</v>
      </c>
      <c r="C34" s="110" t="s">
        <v>112</v>
      </c>
      <c r="D34" s="112">
        <v>4</v>
      </c>
      <c r="E34" s="111" t="s">
        <v>291</v>
      </c>
      <c r="F34" s="111" t="s">
        <v>291</v>
      </c>
      <c r="G34" s="111" t="s">
        <v>291</v>
      </c>
      <c r="H34" s="111" t="s">
        <v>291</v>
      </c>
      <c r="I34" s="113">
        <v>65.44</v>
      </c>
      <c r="J34" s="113" t="s">
        <v>291</v>
      </c>
      <c r="K34" s="113">
        <v>67.900000000000006</v>
      </c>
      <c r="L34" s="113" t="s">
        <v>291</v>
      </c>
      <c r="M34" s="113">
        <v>64.489999999999995</v>
      </c>
      <c r="N34" s="113" t="s">
        <v>291</v>
      </c>
      <c r="O34" s="113" t="s">
        <v>291</v>
      </c>
      <c r="P34" s="113">
        <v>68.209999999999994</v>
      </c>
      <c r="Q34" s="113" t="s">
        <v>291</v>
      </c>
      <c r="R34" s="113" t="s">
        <v>291</v>
      </c>
      <c r="S34" s="113" t="s">
        <v>291</v>
      </c>
      <c r="T34" s="113" t="s">
        <v>291</v>
      </c>
      <c r="U34" s="113" t="s">
        <v>291</v>
      </c>
      <c r="V34" s="111" t="s">
        <v>291</v>
      </c>
      <c r="W34" s="111" t="s">
        <v>291</v>
      </c>
      <c r="X34" s="113" t="s">
        <v>291</v>
      </c>
      <c r="Y34" s="113" t="s">
        <v>291</v>
      </c>
      <c r="Z34" s="113" t="s">
        <v>291</v>
      </c>
      <c r="AA34" s="120">
        <f>SUM(I34:Z34)/4</f>
        <v>66.509999999999991</v>
      </c>
      <c r="AB34" s="123">
        <f t="shared" si="0"/>
        <v>266.03999999999996</v>
      </c>
    </row>
    <row r="35" spans="1:28" ht="15.75" customHeight="1" x14ac:dyDescent="0.2">
      <c r="A35" s="108">
        <v>32</v>
      </c>
      <c r="B35" s="109" t="s">
        <v>344</v>
      </c>
      <c r="C35" s="110" t="s">
        <v>112</v>
      </c>
      <c r="D35" s="112">
        <v>2</v>
      </c>
      <c r="E35" s="111" t="s">
        <v>291</v>
      </c>
      <c r="F35" s="111" t="s">
        <v>291</v>
      </c>
      <c r="G35" s="111" t="s">
        <v>291</v>
      </c>
      <c r="H35" s="111" t="s">
        <v>291</v>
      </c>
      <c r="I35" s="111" t="s">
        <v>291</v>
      </c>
      <c r="J35" s="111" t="s">
        <v>291</v>
      </c>
      <c r="K35" s="111" t="s">
        <v>291</v>
      </c>
      <c r="L35" s="111" t="s">
        <v>291</v>
      </c>
      <c r="M35" s="111" t="s">
        <v>291</v>
      </c>
      <c r="N35" s="113" t="s">
        <v>291</v>
      </c>
      <c r="O35" s="113">
        <v>56.7</v>
      </c>
      <c r="P35" s="113" t="s">
        <v>291</v>
      </c>
      <c r="Q35" s="113">
        <v>50.9</v>
      </c>
      <c r="R35" s="113">
        <v>47.28</v>
      </c>
      <c r="S35" s="113">
        <v>60.2</v>
      </c>
      <c r="T35" s="113" t="s">
        <v>291</v>
      </c>
      <c r="U35" s="113" t="s">
        <v>291</v>
      </c>
      <c r="V35" s="111" t="s">
        <v>291</v>
      </c>
      <c r="W35" s="111" t="s">
        <v>291</v>
      </c>
      <c r="X35" s="113" t="s">
        <v>291</v>
      </c>
      <c r="Y35" s="113" t="s">
        <v>291</v>
      </c>
      <c r="Z35" s="113" t="s">
        <v>291</v>
      </c>
      <c r="AA35" s="120">
        <f>SUM(E35:Z35)/4</f>
        <v>53.769999999999996</v>
      </c>
      <c r="AB35" s="123">
        <f t="shared" si="0"/>
        <v>107.53999999999999</v>
      </c>
    </row>
    <row r="36" spans="1:28" ht="15.75" customHeight="1" x14ac:dyDescent="0.2">
      <c r="A36" s="108">
        <v>33</v>
      </c>
      <c r="B36" s="109" t="s">
        <v>364</v>
      </c>
      <c r="C36" s="110" t="s">
        <v>112</v>
      </c>
      <c r="D36" s="112">
        <v>6</v>
      </c>
      <c r="E36" s="111" t="s">
        <v>291</v>
      </c>
      <c r="F36" s="111" t="s">
        <v>291</v>
      </c>
      <c r="G36" s="111" t="s">
        <v>291</v>
      </c>
      <c r="H36" s="111" t="s">
        <v>291</v>
      </c>
      <c r="I36" s="113">
        <v>617.29999999999995</v>
      </c>
      <c r="J36" s="113" t="s">
        <v>291</v>
      </c>
      <c r="K36" s="113">
        <v>455.91</v>
      </c>
      <c r="L36" s="111" t="s">
        <v>291</v>
      </c>
      <c r="M36" s="111" t="s">
        <v>291</v>
      </c>
      <c r="N36" s="113" t="s">
        <v>291</v>
      </c>
      <c r="O36" s="113" t="s">
        <v>291</v>
      </c>
      <c r="P36" s="113">
        <v>669.9</v>
      </c>
      <c r="Q36" s="113" t="s">
        <v>291</v>
      </c>
      <c r="R36" s="113" t="s">
        <v>291</v>
      </c>
      <c r="S36" s="113" t="s">
        <v>291</v>
      </c>
      <c r="T36" s="113" t="s">
        <v>291</v>
      </c>
      <c r="U36" s="113" t="s">
        <v>291</v>
      </c>
      <c r="V36" s="111" t="s">
        <v>291</v>
      </c>
      <c r="W36" s="111" t="s">
        <v>291</v>
      </c>
      <c r="X36" s="113" t="s">
        <v>291</v>
      </c>
      <c r="Y36" s="113" t="s">
        <v>291</v>
      </c>
      <c r="Z36" s="113" t="s">
        <v>291</v>
      </c>
      <c r="AA36" s="120">
        <f>SUM(E36:Z36)/3</f>
        <v>581.03666666666675</v>
      </c>
      <c r="AB36" s="123">
        <f t="shared" ref="AB36:AB67" si="2">AA36*D36</f>
        <v>3486.2200000000003</v>
      </c>
    </row>
    <row r="37" spans="1:28" ht="15.75" customHeight="1" x14ac:dyDescent="0.2">
      <c r="A37" s="108">
        <v>34</v>
      </c>
      <c r="B37" s="109" t="s">
        <v>366</v>
      </c>
      <c r="C37" s="110" t="s">
        <v>112</v>
      </c>
      <c r="D37" s="112">
        <v>1</v>
      </c>
      <c r="E37" s="111" t="s">
        <v>291</v>
      </c>
      <c r="F37" s="111" t="s">
        <v>291</v>
      </c>
      <c r="G37" s="111" t="s">
        <v>291</v>
      </c>
      <c r="H37" s="111" t="s">
        <v>291</v>
      </c>
      <c r="I37" s="113">
        <v>597</v>
      </c>
      <c r="J37" s="113">
        <v>739.99</v>
      </c>
      <c r="K37" s="113">
        <v>639.9</v>
      </c>
      <c r="L37" s="111" t="s">
        <v>291</v>
      </c>
      <c r="M37" s="111" t="s">
        <v>291</v>
      </c>
      <c r="N37" s="113" t="s">
        <v>291</v>
      </c>
      <c r="O37" s="113" t="s">
        <v>291</v>
      </c>
      <c r="P37" s="113" t="s">
        <v>291</v>
      </c>
      <c r="Q37" s="113" t="s">
        <v>291</v>
      </c>
      <c r="R37" s="113" t="s">
        <v>291</v>
      </c>
      <c r="S37" s="113" t="s">
        <v>291</v>
      </c>
      <c r="T37" s="113" t="s">
        <v>291</v>
      </c>
      <c r="U37" s="113" t="s">
        <v>291</v>
      </c>
      <c r="V37" s="111" t="s">
        <v>291</v>
      </c>
      <c r="W37" s="111" t="s">
        <v>291</v>
      </c>
      <c r="X37" s="113" t="s">
        <v>291</v>
      </c>
      <c r="Y37" s="113" t="s">
        <v>291</v>
      </c>
      <c r="Z37" s="113" t="s">
        <v>291</v>
      </c>
      <c r="AA37" s="120">
        <f>SUM(E37:Z37)/3</f>
        <v>658.96333333333325</v>
      </c>
      <c r="AB37" s="123">
        <f t="shared" si="2"/>
        <v>658.96333333333325</v>
      </c>
    </row>
    <row r="38" spans="1:28" ht="15.75" customHeight="1" x14ac:dyDescent="0.2">
      <c r="A38" s="108">
        <v>35</v>
      </c>
      <c r="B38" s="109" t="s">
        <v>373</v>
      </c>
      <c r="C38" s="110" t="s">
        <v>112</v>
      </c>
      <c r="D38" s="112">
        <v>6</v>
      </c>
      <c r="E38" s="114" t="s">
        <v>291</v>
      </c>
      <c r="F38" s="111" t="s">
        <v>291</v>
      </c>
      <c r="G38" s="111" t="s">
        <v>291</v>
      </c>
      <c r="H38" s="111" t="s">
        <v>291</v>
      </c>
      <c r="I38" s="113">
        <v>21</v>
      </c>
      <c r="J38" s="113" t="s">
        <v>291</v>
      </c>
      <c r="K38" s="113">
        <v>21.76</v>
      </c>
      <c r="L38" s="113" t="s">
        <v>291</v>
      </c>
      <c r="M38" s="113">
        <v>18.670000000000002</v>
      </c>
      <c r="N38" s="113" t="s">
        <v>291</v>
      </c>
      <c r="O38" s="113" t="s">
        <v>291</v>
      </c>
      <c r="P38" s="113">
        <v>21.9</v>
      </c>
      <c r="Q38" s="113" t="s">
        <v>291</v>
      </c>
      <c r="R38" s="113" t="s">
        <v>291</v>
      </c>
      <c r="S38" s="113" t="s">
        <v>291</v>
      </c>
      <c r="T38" s="113" t="s">
        <v>291</v>
      </c>
      <c r="U38" s="113" t="s">
        <v>291</v>
      </c>
      <c r="V38" s="111" t="s">
        <v>291</v>
      </c>
      <c r="W38" s="111" t="s">
        <v>291</v>
      </c>
      <c r="X38" s="113" t="s">
        <v>291</v>
      </c>
      <c r="Y38" s="113" t="s">
        <v>291</v>
      </c>
      <c r="Z38" s="113" t="s">
        <v>291</v>
      </c>
      <c r="AA38" s="120">
        <f>SUM(E38:Z38)/4</f>
        <v>20.832500000000003</v>
      </c>
      <c r="AB38" s="123">
        <f t="shared" si="2"/>
        <v>124.99500000000002</v>
      </c>
    </row>
    <row r="39" spans="1:28" ht="15.75" customHeight="1" x14ac:dyDescent="0.2">
      <c r="A39" s="108">
        <v>36</v>
      </c>
      <c r="B39" s="109" t="s">
        <v>206</v>
      </c>
      <c r="C39" s="110" t="s">
        <v>112</v>
      </c>
      <c r="D39" s="112">
        <v>1</v>
      </c>
      <c r="E39" s="111" t="s">
        <v>291</v>
      </c>
      <c r="F39" s="111" t="s">
        <v>291</v>
      </c>
      <c r="G39" s="111" t="s">
        <v>291</v>
      </c>
      <c r="H39" s="111" t="s">
        <v>291</v>
      </c>
      <c r="I39" s="113">
        <v>211</v>
      </c>
      <c r="J39" s="113" t="s">
        <v>291</v>
      </c>
      <c r="K39" s="113">
        <v>294.41000000000003</v>
      </c>
      <c r="L39" s="113" t="s">
        <v>291</v>
      </c>
      <c r="M39" s="113">
        <v>332.68</v>
      </c>
      <c r="N39" s="113" t="s">
        <v>291</v>
      </c>
      <c r="O39" s="113" t="s">
        <v>291</v>
      </c>
      <c r="P39" s="113" t="s">
        <v>291</v>
      </c>
      <c r="Q39" s="113" t="s">
        <v>291</v>
      </c>
      <c r="R39" s="113" t="s">
        <v>291</v>
      </c>
      <c r="S39" s="113" t="s">
        <v>291</v>
      </c>
      <c r="T39" s="113" t="s">
        <v>291</v>
      </c>
      <c r="U39" s="113" t="s">
        <v>291</v>
      </c>
      <c r="V39" s="111" t="s">
        <v>291</v>
      </c>
      <c r="W39" s="111" t="s">
        <v>291</v>
      </c>
      <c r="X39" s="113" t="s">
        <v>291</v>
      </c>
      <c r="Y39" s="113" t="s">
        <v>291</v>
      </c>
      <c r="Z39" s="113" t="s">
        <v>291</v>
      </c>
      <c r="AA39" s="120">
        <f t="shared" ref="AA39:AA50" si="3">SUM(E39:Z39)/3</f>
        <v>279.36333333333334</v>
      </c>
      <c r="AB39" s="123">
        <f t="shared" si="2"/>
        <v>279.36333333333334</v>
      </c>
    </row>
    <row r="40" spans="1:28" ht="15.75" customHeight="1" x14ac:dyDescent="0.2">
      <c r="A40" s="108">
        <v>37</v>
      </c>
      <c r="B40" s="109" t="s">
        <v>374</v>
      </c>
      <c r="C40" s="110" t="s">
        <v>112</v>
      </c>
      <c r="D40" s="112">
        <v>6</v>
      </c>
      <c r="E40" s="111" t="s">
        <v>291</v>
      </c>
      <c r="F40" s="111" t="s">
        <v>291</v>
      </c>
      <c r="G40" s="111" t="s">
        <v>291</v>
      </c>
      <c r="H40" s="111" t="s">
        <v>291</v>
      </c>
      <c r="I40" s="111" t="s">
        <v>291</v>
      </c>
      <c r="J40" s="113">
        <v>39.99</v>
      </c>
      <c r="K40" s="113">
        <v>39.9</v>
      </c>
      <c r="L40" s="113">
        <v>44.55</v>
      </c>
      <c r="M40" s="113" t="s">
        <v>291</v>
      </c>
      <c r="N40" s="113" t="s">
        <v>291</v>
      </c>
      <c r="O40" s="113" t="s">
        <v>291</v>
      </c>
      <c r="P40" s="113" t="s">
        <v>291</v>
      </c>
      <c r="Q40" s="113" t="s">
        <v>291</v>
      </c>
      <c r="R40" s="113" t="s">
        <v>291</v>
      </c>
      <c r="S40" s="113" t="s">
        <v>291</v>
      </c>
      <c r="T40" s="113" t="s">
        <v>291</v>
      </c>
      <c r="U40" s="113" t="s">
        <v>291</v>
      </c>
      <c r="V40" s="111" t="s">
        <v>291</v>
      </c>
      <c r="W40" s="111" t="s">
        <v>291</v>
      </c>
      <c r="X40" s="113" t="s">
        <v>291</v>
      </c>
      <c r="Y40" s="113" t="s">
        <v>291</v>
      </c>
      <c r="Z40" s="113" t="s">
        <v>291</v>
      </c>
      <c r="AA40" s="120">
        <f t="shared" si="3"/>
        <v>41.48</v>
      </c>
      <c r="AB40" s="123">
        <f t="shared" si="2"/>
        <v>248.88</v>
      </c>
    </row>
    <row r="41" spans="1:28" ht="15.75" customHeight="1" x14ac:dyDescent="0.2">
      <c r="A41" s="108">
        <v>38</v>
      </c>
      <c r="B41" s="109" t="s">
        <v>207</v>
      </c>
      <c r="C41" s="110" t="s">
        <v>112</v>
      </c>
      <c r="D41" s="112">
        <v>2</v>
      </c>
      <c r="E41" s="111" t="s">
        <v>291</v>
      </c>
      <c r="F41" s="111" t="s">
        <v>291</v>
      </c>
      <c r="G41" s="111" t="s">
        <v>291</v>
      </c>
      <c r="H41" s="111" t="s">
        <v>291</v>
      </c>
      <c r="I41" s="113">
        <v>63.22</v>
      </c>
      <c r="J41" s="113">
        <v>38.21</v>
      </c>
      <c r="K41" s="113" t="s">
        <v>291</v>
      </c>
      <c r="L41" s="113" t="s">
        <v>291</v>
      </c>
      <c r="M41" s="113">
        <v>40.64</v>
      </c>
      <c r="N41" s="113" t="s">
        <v>291</v>
      </c>
      <c r="O41" s="113" t="s">
        <v>291</v>
      </c>
      <c r="P41" s="113" t="s">
        <v>291</v>
      </c>
      <c r="Q41" s="113" t="s">
        <v>291</v>
      </c>
      <c r="R41" s="113" t="s">
        <v>291</v>
      </c>
      <c r="S41" s="113" t="s">
        <v>291</v>
      </c>
      <c r="T41" s="113" t="s">
        <v>291</v>
      </c>
      <c r="U41" s="113" t="s">
        <v>291</v>
      </c>
      <c r="V41" s="111" t="s">
        <v>291</v>
      </c>
      <c r="W41" s="111" t="s">
        <v>291</v>
      </c>
      <c r="X41" s="113" t="s">
        <v>291</v>
      </c>
      <c r="Y41" s="113" t="s">
        <v>291</v>
      </c>
      <c r="Z41" s="113" t="s">
        <v>291</v>
      </c>
      <c r="AA41" s="120">
        <f t="shared" si="3"/>
        <v>47.356666666666662</v>
      </c>
      <c r="AB41" s="123">
        <f t="shared" si="2"/>
        <v>94.713333333333324</v>
      </c>
    </row>
    <row r="42" spans="1:28" ht="15.75" customHeight="1" x14ac:dyDescent="0.2">
      <c r="A42" s="108">
        <v>39</v>
      </c>
      <c r="B42" s="109" t="s">
        <v>370</v>
      </c>
      <c r="C42" s="110" t="s">
        <v>112</v>
      </c>
      <c r="D42" s="112">
        <v>1</v>
      </c>
      <c r="E42" s="111" t="s">
        <v>291</v>
      </c>
      <c r="F42" s="111" t="s">
        <v>291</v>
      </c>
      <c r="G42" s="111" t="s">
        <v>291</v>
      </c>
      <c r="H42" s="111" t="s">
        <v>291</v>
      </c>
      <c r="I42" s="113">
        <v>239.9</v>
      </c>
      <c r="J42" s="113">
        <v>392.99</v>
      </c>
      <c r="K42" s="113" t="s">
        <v>291</v>
      </c>
      <c r="L42" s="113" t="s">
        <v>291</v>
      </c>
      <c r="M42" s="113" t="s">
        <v>291</v>
      </c>
      <c r="N42" s="113" t="s">
        <v>291</v>
      </c>
      <c r="O42" s="113">
        <v>399</v>
      </c>
      <c r="P42" s="113" t="s">
        <v>291</v>
      </c>
      <c r="Q42" s="113" t="s">
        <v>291</v>
      </c>
      <c r="R42" s="113" t="s">
        <v>291</v>
      </c>
      <c r="S42" s="113" t="s">
        <v>291</v>
      </c>
      <c r="T42" s="113" t="s">
        <v>291</v>
      </c>
      <c r="U42" s="113" t="s">
        <v>291</v>
      </c>
      <c r="V42" s="111" t="s">
        <v>291</v>
      </c>
      <c r="W42" s="111" t="s">
        <v>291</v>
      </c>
      <c r="X42" s="113" t="s">
        <v>291</v>
      </c>
      <c r="Y42" s="113" t="s">
        <v>291</v>
      </c>
      <c r="Z42" s="113" t="s">
        <v>291</v>
      </c>
      <c r="AA42" s="120">
        <f t="shared" si="3"/>
        <v>343.96333333333331</v>
      </c>
      <c r="AB42" s="123">
        <f t="shared" si="2"/>
        <v>343.96333333333331</v>
      </c>
    </row>
    <row r="43" spans="1:28" ht="15.75" customHeight="1" x14ac:dyDescent="0.2">
      <c r="A43" s="108">
        <v>40</v>
      </c>
      <c r="B43" s="109" t="s">
        <v>362</v>
      </c>
      <c r="C43" s="110" t="s">
        <v>112</v>
      </c>
      <c r="D43" s="112">
        <v>1</v>
      </c>
      <c r="E43" s="111" t="s">
        <v>291</v>
      </c>
      <c r="F43" s="111" t="s">
        <v>291</v>
      </c>
      <c r="G43" s="111" t="s">
        <v>291</v>
      </c>
      <c r="H43" s="111" t="s">
        <v>291</v>
      </c>
      <c r="I43" s="111" t="s">
        <v>291</v>
      </c>
      <c r="J43" s="111" t="s">
        <v>291</v>
      </c>
      <c r="K43" s="113">
        <v>61.25</v>
      </c>
      <c r="L43" s="113" t="s">
        <v>291</v>
      </c>
      <c r="M43" s="113">
        <v>59.22</v>
      </c>
      <c r="N43" s="113" t="s">
        <v>291</v>
      </c>
      <c r="O43" s="113" t="s">
        <v>291</v>
      </c>
      <c r="P43" s="113">
        <v>63.05</v>
      </c>
      <c r="Q43" s="113" t="s">
        <v>291</v>
      </c>
      <c r="R43" s="113" t="s">
        <v>291</v>
      </c>
      <c r="S43" s="113" t="s">
        <v>291</v>
      </c>
      <c r="T43" s="113" t="s">
        <v>291</v>
      </c>
      <c r="U43" s="113" t="s">
        <v>291</v>
      </c>
      <c r="V43" s="111" t="s">
        <v>291</v>
      </c>
      <c r="W43" s="111" t="s">
        <v>291</v>
      </c>
      <c r="X43" s="113" t="s">
        <v>291</v>
      </c>
      <c r="Y43" s="113" t="s">
        <v>291</v>
      </c>
      <c r="Z43" s="113" t="s">
        <v>291</v>
      </c>
      <c r="AA43" s="120">
        <f t="shared" si="3"/>
        <v>61.173333333333325</v>
      </c>
      <c r="AB43" s="123">
        <f t="shared" si="2"/>
        <v>61.173333333333325</v>
      </c>
    </row>
    <row r="44" spans="1:28" ht="15.75" customHeight="1" x14ac:dyDescent="0.2">
      <c r="A44" s="108">
        <v>41</v>
      </c>
      <c r="B44" s="109" t="s">
        <v>208</v>
      </c>
      <c r="C44" s="110" t="s">
        <v>112</v>
      </c>
      <c r="D44" s="112">
        <v>1</v>
      </c>
      <c r="E44" s="111" t="s">
        <v>291</v>
      </c>
      <c r="F44" s="111" t="s">
        <v>291</v>
      </c>
      <c r="G44" s="111" t="s">
        <v>291</v>
      </c>
      <c r="H44" s="111" t="s">
        <v>291</v>
      </c>
      <c r="I44" s="113">
        <v>244.33</v>
      </c>
      <c r="J44" s="113">
        <v>169.99</v>
      </c>
      <c r="K44" s="113">
        <v>299</v>
      </c>
      <c r="L44" s="113" t="s">
        <v>291</v>
      </c>
      <c r="M44" s="113" t="s">
        <v>291</v>
      </c>
      <c r="N44" s="113" t="s">
        <v>291</v>
      </c>
      <c r="O44" s="113" t="s">
        <v>291</v>
      </c>
      <c r="P44" s="113" t="s">
        <v>291</v>
      </c>
      <c r="Q44" s="113" t="s">
        <v>291</v>
      </c>
      <c r="R44" s="113" t="s">
        <v>291</v>
      </c>
      <c r="S44" s="113" t="s">
        <v>291</v>
      </c>
      <c r="T44" s="113" t="s">
        <v>291</v>
      </c>
      <c r="U44" s="113" t="s">
        <v>291</v>
      </c>
      <c r="V44" s="111" t="s">
        <v>291</v>
      </c>
      <c r="W44" s="111" t="s">
        <v>291</v>
      </c>
      <c r="X44" s="113" t="s">
        <v>291</v>
      </c>
      <c r="Y44" s="113" t="s">
        <v>291</v>
      </c>
      <c r="Z44" s="113" t="s">
        <v>291</v>
      </c>
      <c r="AA44" s="120">
        <f t="shared" si="3"/>
        <v>237.77333333333334</v>
      </c>
      <c r="AB44" s="123">
        <f t="shared" si="2"/>
        <v>237.77333333333334</v>
      </c>
    </row>
    <row r="45" spans="1:28" ht="15.75" customHeight="1" x14ac:dyDescent="0.2">
      <c r="A45" s="108">
        <v>42</v>
      </c>
      <c r="B45" s="109" t="s">
        <v>375</v>
      </c>
      <c r="C45" s="110" t="s">
        <v>112</v>
      </c>
      <c r="D45" s="112">
        <v>6</v>
      </c>
      <c r="E45" s="111" t="s">
        <v>291</v>
      </c>
      <c r="F45" s="111" t="s">
        <v>291</v>
      </c>
      <c r="G45" s="111" t="s">
        <v>291</v>
      </c>
      <c r="H45" s="111" t="s">
        <v>291</v>
      </c>
      <c r="I45" s="113">
        <v>54.9</v>
      </c>
      <c r="J45" s="113">
        <v>46.66</v>
      </c>
      <c r="K45" s="113" t="s">
        <v>291</v>
      </c>
      <c r="L45" s="113" t="s">
        <v>291</v>
      </c>
      <c r="M45" s="113">
        <v>51</v>
      </c>
      <c r="N45" s="113" t="s">
        <v>291</v>
      </c>
      <c r="O45" s="113" t="s">
        <v>291</v>
      </c>
      <c r="P45" s="113" t="s">
        <v>291</v>
      </c>
      <c r="Q45" s="113" t="s">
        <v>291</v>
      </c>
      <c r="R45" s="113" t="s">
        <v>291</v>
      </c>
      <c r="S45" s="113" t="s">
        <v>291</v>
      </c>
      <c r="T45" s="113" t="s">
        <v>291</v>
      </c>
      <c r="U45" s="113" t="s">
        <v>291</v>
      </c>
      <c r="V45" s="111" t="s">
        <v>291</v>
      </c>
      <c r="W45" s="111" t="s">
        <v>291</v>
      </c>
      <c r="X45" s="113" t="s">
        <v>291</v>
      </c>
      <c r="Y45" s="113" t="s">
        <v>291</v>
      </c>
      <c r="Z45" s="113" t="s">
        <v>291</v>
      </c>
      <c r="AA45" s="120">
        <f t="shared" si="3"/>
        <v>50.853333333333332</v>
      </c>
      <c r="AB45" s="122">
        <f t="shared" si="2"/>
        <v>305.12</v>
      </c>
    </row>
    <row r="46" spans="1:28" ht="15.75" customHeight="1" x14ac:dyDescent="0.2">
      <c r="A46" s="108">
        <v>43</v>
      </c>
      <c r="B46" s="109" t="s">
        <v>376</v>
      </c>
      <c r="C46" s="110" t="s">
        <v>112</v>
      </c>
      <c r="D46" s="112">
        <v>6</v>
      </c>
      <c r="E46" s="111" t="s">
        <v>291</v>
      </c>
      <c r="F46" s="111" t="s">
        <v>291</v>
      </c>
      <c r="G46" s="111" t="s">
        <v>291</v>
      </c>
      <c r="H46" s="111" t="s">
        <v>291</v>
      </c>
      <c r="I46" s="113">
        <v>32.5</v>
      </c>
      <c r="J46" s="113">
        <v>37.770000000000003</v>
      </c>
      <c r="K46" s="113" t="s">
        <v>291</v>
      </c>
      <c r="L46" s="113" t="s">
        <v>291</v>
      </c>
      <c r="M46" s="113">
        <v>37.22</v>
      </c>
      <c r="N46" s="113" t="s">
        <v>291</v>
      </c>
      <c r="O46" s="113" t="s">
        <v>291</v>
      </c>
      <c r="P46" s="113" t="s">
        <v>291</v>
      </c>
      <c r="Q46" s="113" t="s">
        <v>291</v>
      </c>
      <c r="R46" s="113" t="s">
        <v>291</v>
      </c>
      <c r="S46" s="113" t="s">
        <v>291</v>
      </c>
      <c r="T46" s="113" t="s">
        <v>291</v>
      </c>
      <c r="U46" s="113" t="s">
        <v>291</v>
      </c>
      <c r="V46" s="111" t="s">
        <v>291</v>
      </c>
      <c r="W46" s="111" t="s">
        <v>291</v>
      </c>
      <c r="X46" s="113" t="s">
        <v>291</v>
      </c>
      <c r="Y46" s="113" t="s">
        <v>291</v>
      </c>
      <c r="Z46" s="113" t="s">
        <v>291</v>
      </c>
      <c r="AA46" s="120">
        <f t="shared" si="3"/>
        <v>35.830000000000005</v>
      </c>
      <c r="AB46" s="122">
        <f t="shared" si="2"/>
        <v>214.98000000000002</v>
      </c>
    </row>
    <row r="47" spans="1:28" ht="15.75" customHeight="1" x14ac:dyDescent="0.2">
      <c r="A47" s="108">
        <v>44</v>
      </c>
      <c r="B47" s="109" t="s">
        <v>377</v>
      </c>
      <c r="C47" s="110" t="s">
        <v>112</v>
      </c>
      <c r="D47" s="112">
        <v>1</v>
      </c>
      <c r="E47" s="111" t="s">
        <v>291</v>
      </c>
      <c r="F47" s="111" t="s">
        <v>291</v>
      </c>
      <c r="G47" s="111" t="s">
        <v>291</v>
      </c>
      <c r="H47" s="111" t="s">
        <v>291</v>
      </c>
      <c r="I47" s="113">
        <v>237.2</v>
      </c>
      <c r="J47" s="113">
        <v>176.67</v>
      </c>
      <c r="K47" s="113">
        <v>238.5</v>
      </c>
      <c r="L47" s="113" t="s">
        <v>291</v>
      </c>
      <c r="M47" s="113" t="s">
        <v>291</v>
      </c>
      <c r="N47" s="113" t="s">
        <v>291</v>
      </c>
      <c r="O47" s="113" t="s">
        <v>291</v>
      </c>
      <c r="P47" s="113" t="s">
        <v>291</v>
      </c>
      <c r="Q47" s="113" t="s">
        <v>291</v>
      </c>
      <c r="R47" s="113" t="s">
        <v>291</v>
      </c>
      <c r="S47" s="113" t="s">
        <v>291</v>
      </c>
      <c r="T47" s="113" t="s">
        <v>291</v>
      </c>
      <c r="U47" s="113" t="s">
        <v>291</v>
      </c>
      <c r="V47" s="111" t="s">
        <v>291</v>
      </c>
      <c r="W47" s="111" t="s">
        <v>291</v>
      </c>
      <c r="X47" s="113" t="s">
        <v>291</v>
      </c>
      <c r="Y47" s="113" t="s">
        <v>291</v>
      </c>
      <c r="Z47" s="113" t="s">
        <v>291</v>
      </c>
      <c r="AA47" s="120">
        <f t="shared" si="3"/>
        <v>217.45666666666668</v>
      </c>
      <c r="AB47" s="122">
        <f t="shared" si="2"/>
        <v>217.45666666666668</v>
      </c>
    </row>
    <row r="48" spans="1:28" ht="15.75" customHeight="1" x14ac:dyDescent="0.2">
      <c r="A48" s="108">
        <v>45</v>
      </c>
      <c r="B48" s="109" t="s">
        <v>209</v>
      </c>
      <c r="C48" s="110" t="s">
        <v>112</v>
      </c>
      <c r="D48" s="112">
        <v>1</v>
      </c>
      <c r="E48" s="111" t="s">
        <v>291</v>
      </c>
      <c r="F48" s="111" t="s">
        <v>291</v>
      </c>
      <c r="G48" s="111" t="s">
        <v>291</v>
      </c>
      <c r="H48" s="111" t="s">
        <v>291</v>
      </c>
      <c r="I48" s="111" t="s">
        <v>291</v>
      </c>
      <c r="J48" s="111" t="s">
        <v>291</v>
      </c>
      <c r="K48" s="113">
        <v>32.68</v>
      </c>
      <c r="L48" s="113">
        <v>60.93</v>
      </c>
      <c r="M48" s="113">
        <v>78.8</v>
      </c>
      <c r="N48" s="113" t="s">
        <v>291</v>
      </c>
      <c r="O48" s="113" t="s">
        <v>291</v>
      </c>
      <c r="P48" s="113" t="s">
        <v>291</v>
      </c>
      <c r="Q48" s="113" t="s">
        <v>291</v>
      </c>
      <c r="R48" s="113" t="s">
        <v>291</v>
      </c>
      <c r="S48" s="113" t="s">
        <v>291</v>
      </c>
      <c r="T48" s="113" t="s">
        <v>291</v>
      </c>
      <c r="U48" s="113" t="s">
        <v>291</v>
      </c>
      <c r="V48" s="111" t="s">
        <v>291</v>
      </c>
      <c r="W48" s="111" t="s">
        <v>291</v>
      </c>
      <c r="X48" s="113" t="s">
        <v>291</v>
      </c>
      <c r="Y48" s="113" t="s">
        <v>291</v>
      </c>
      <c r="Z48" s="113" t="s">
        <v>291</v>
      </c>
      <c r="AA48" s="120">
        <f t="shared" si="3"/>
        <v>57.47</v>
      </c>
      <c r="AB48" s="122">
        <f t="shared" si="2"/>
        <v>57.47</v>
      </c>
    </row>
    <row r="49" spans="1:28" ht="15.75" customHeight="1" x14ac:dyDescent="0.2">
      <c r="A49" s="108">
        <v>46</v>
      </c>
      <c r="B49" s="109" t="s">
        <v>210</v>
      </c>
      <c r="C49" s="110" t="s">
        <v>112</v>
      </c>
      <c r="D49" s="112">
        <v>1</v>
      </c>
      <c r="E49" s="111" t="s">
        <v>291</v>
      </c>
      <c r="F49" s="111" t="s">
        <v>291</v>
      </c>
      <c r="G49" s="111" t="s">
        <v>291</v>
      </c>
      <c r="H49" s="111" t="s">
        <v>291</v>
      </c>
      <c r="I49" s="113">
        <v>156.56</v>
      </c>
      <c r="J49" s="113">
        <v>92.2</v>
      </c>
      <c r="K49" s="113">
        <v>170.9</v>
      </c>
      <c r="L49" s="113" t="s">
        <v>291</v>
      </c>
      <c r="M49" s="113" t="s">
        <v>291</v>
      </c>
      <c r="N49" s="113" t="s">
        <v>291</v>
      </c>
      <c r="O49" s="113" t="s">
        <v>291</v>
      </c>
      <c r="P49" s="113" t="s">
        <v>291</v>
      </c>
      <c r="Q49" s="113" t="s">
        <v>291</v>
      </c>
      <c r="R49" s="113" t="s">
        <v>291</v>
      </c>
      <c r="S49" s="113" t="s">
        <v>291</v>
      </c>
      <c r="T49" s="113" t="s">
        <v>291</v>
      </c>
      <c r="U49" s="113" t="s">
        <v>291</v>
      </c>
      <c r="V49" s="111" t="s">
        <v>291</v>
      </c>
      <c r="W49" s="111" t="s">
        <v>291</v>
      </c>
      <c r="X49" s="113" t="s">
        <v>291</v>
      </c>
      <c r="Y49" s="113" t="s">
        <v>291</v>
      </c>
      <c r="Z49" s="113" t="s">
        <v>291</v>
      </c>
      <c r="AA49" s="120">
        <f t="shared" si="3"/>
        <v>139.88666666666666</v>
      </c>
      <c r="AB49" s="122">
        <f t="shared" si="2"/>
        <v>139.88666666666666</v>
      </c>
    </row>
    <row r="50" spans="1:28" ht="15.75" customHeight="1" x14ac:dyDescent="0.2">
      <c r="A50" s="108">
        <v>47</v>
      </c>
      <c r="B50" s="109" t="s">
        <v>211</v>
      </c>
      <c r="C50" s="110" t="s">
        <v>112</v>
      </c>
      <c r="D50" s="112">
        <v>6</v>
      </c>
      <c r="E50" s="111" t="s">
        <v>291</v>
      </c>
      <c r="F50" s="111" t="s">
        <v>291</v>
      </c>
      <c r="G50" s="111" t="s">
        <v>291</v>
      </c>
      <c r="H50" s="111" t="s">
        <v>291</v>
      </c>
      <c r="I50" s="113">
        <v>11</v>
      </c>
      <c r="J50" s="113" t="s">
        <v>291</v>
      </c>
      <c r="K50" s="113">
        <v>12.39</v>
      </c>
      <c r="L50" s="113" t="s">
        <v>291</v>
      </c>
      <c r="M50" s="113">
        <v>11.02</v>
      </c>
      <c r="N50" s="113" t="s">
        <v>291</v>
      </c>
      <c r="O50" s="113" t="s">
        <v>291</v>
      </c>
      <c r="P50" s="113" t="s">
        <v>291</v>
      </c>
      <c r="Q50" s="113" t="s">
        <v>291</v>
      </c>
      <c r="R50" s="113" t="s">
        <v>291</v>
      </c>
      <c r="S50" s="113" t="s">
        <v>291</v>
      </c>
      <c r="T50" s="113" t="s">
        <v>291</v>
      </c>
      <c r="U50" s="113" t="s">
        <v>291</v>
      </c>
      <c r="V50" s="111" t="s">
        <v>291</v>
      </c>
      <c r="W50" s="111" t="s">
        <v>291</v>
      </c>
      <c r="X50" s="113" t="s">
        <v>291</v>
      </c>
      <c r="Y50" s="113" t="s">
        <v>291</v>
      </c>
      <c r="Z50" s="113" t="s">
        <v>291</v>
      </c>
      <c r="AA50" s="120">
        <f t="shared" si="3"/>
        <v>11.469999999999999</v>
      </c>
      <c r="AB50" s="122">
        <f t="shared" si="2"/>
        <v>68.819999999999993</v>
      </c>
    </row>
    <row r="51" spans="1:28" ht="15.75" customHeight="1" x14ac:dyDescent="0.2">
      <c r="A51" s="108">
        <v>48</v>
      </c>
      <c r="B51" s="109" t="s">
        <v>363</v>
      </c>
      <c r="C51" s="110" t="s">
        <v>112</v>
      </c>
      <c r="D51" s="112">
        <v>4</v>
      </c>
      <c r="E51" s="111" t="s">
        <v>291</v>
      </c>
      <c r="F51" s="111" t="s">
        <v>291</v>
      </c>
      <c r="G51" s="111" t="s">
        <v>291</v>
      </c>
      <c r="H51" s="111" t="s">
        <v>291</v>
      </c>
      <c r="I51" s="111" t="s">
        <v>291</v>
      </c>
      <c r="J51" s="111" t="s">
        <v>291</v>
      </c>
      <c r="K51" s="113">
        <v>289.5</v>
      </c>
      <c r="L51" s="113" t="s">
        <v>291</v>
      </c>
      <c r="M51" s="113" t="s">
        <v>291</v>
      </c>
      <c r="N51" s="113" t="s">
        <v>291</v>
      </c>
      <c r="O51" s="113">
        <v>249.92</v>
      </c>
      <c r="P51" s="113" t="s">
        <v>291</v>
      </c>
      <c r="Q51" s="113">
        <v>253.66</v>
      </c>
      <c r="R51" s="113" t="s">
        <v>291</v>
      </c>
      <c r="S51" s="113" t="s">
        <v>291</v>
      </c>
      <c r="T51" s="113" t="s">
        <v>291</v>
      </c>
      <c r="U51" s="113" t="s">
        <v>291</v>
      </c>
      <c r="V51" s="111" t="s">
        <v>291</v>
      </c>
      <c r="W51" s="111" t="s">
        <v>291</v>
      </c>
      <c r="X51" s="113" t="s">
        <v>291</v>
      </c>
      <c r="Y51" s="113" t="s">
        <v>291</v>
      </c>
      <c r="Z51" s="113" t="s">
        <v>291</v>
      </c>
      <c r="AA51" s="120">
        <f>SUM(E51:R51)/3</f>
        <v>264.35999999999996</v>
      </c>
      <c r="AB51" s="122">
        <f t="shared" si="2"/>
        <v>1057.4399999999998</v>
      </c>
    </row>
    <row r="52" spans="1:28" ht="15.75" customHeight="1" x14ac:dyDescent="0.2">
      <c r="A52" s="108">
        <v>49</v>
      </c>
      <c r="B52" s="109" t="s">
        <v>343</v>
      </c>
      <c r="C52" s="110" t="s">
        <v>112</v>
      </c>
      <c r="D52" s="112">
        <v>3</v>
      </c>
      <c r="E52" s="111" t="s">
        <v>291</v>
      </c>
      <c r="F52" s="111" t="s">
        <v>291</v>
      </c>
      <c r="G52" s="111" t="s">
        <v>291</v>
      </c>
      <c r="H52" s="111" t="s">
        <v>291</v>
      </c>
      <c r="I52" s="113">
        <v>71</v>
      </c>
      <c r="J52" s="113">
        <v>69.989999999999995</v>
      </c>
      <c r="K52" s="113">
        <v>68.900000000000006</v>
      </c>
      <c r="L52" s="113" t="s">
        <v>291</v>
      </c>
      <c r="M52" s="113" t="s">
        <v>291</v>
      </c>
      <c r="N52" s="113" t="s">
        <v>291</v>
      </c>
      <c r="O52" s="113" t="s">
        <v>291</v>
      </c>
      <c r="P52" s="113" t="s">
        <v>291</v>
      </c>
      <c r="Q52" s="113" t="s">
        <v>291</v>
      </c>
      <c r="R52" s="113" t="s">
        <v>291</v>
      </c>
      <c r="S52" s="113" t="s">
        <v>291</v>
      </c>
      <c r="T52" s="113" t="s">
        <v>291</v>
      </c>
      <c r="U52" s="113" t="s">
        <v>291</v>
      </c>
      <c r="V52" s="111" t="s">
        <v>291</v>
      </c>
      <c r="W52" s="111" t="s">
        <v>291</v>
      </c>
      <c r="X52" s="113" t="s">
        <v>291</v>
      </c>
      <c r="Y52" s="113" t="s">
        <v>291</v>
      </c>
      <c r="Z52" s="113" t="s">
        <v>291</v>
      </c>
      <c r="AA52" s="120">
        <f>SUM(E52:R52)/3</f>
        <v>69.963333333333338</v>
      </c>
      <c r="AB52" s="122">
        <f t="shared" si="2"/>
        <v>209.89000000000001</v>
      </c>
    </row>
    <row r="53" spans="1:28" ht="15.75" customHeight="1" x14ac:dyDescent="0.2">
      <c r="A53" s="108">
        <v>50</v>
      </c>
      <c r="B53" s="109" t="s">
        <v>379</v>
      </c>
      <c r="C53" s="110" t="s">
        <v>112</v>
      </c>
      <c r="D53" s="112">
        <v>1</v>
      </c>
      <c r="E53" s="111" t="s">
        <v>291</v>
      </c>
      <c r="F53" s="111" t="s">
        <v>291</v>
      </c>
      <c r="G53" s="111" t="s">
        <v>291</v>
      </c>
      <c r="H53" s="111" t="s">
        <v>291</v>
      </c>
      <c r="I53" s="111" t="s">
        <v>291</v>
      </c>
      <c r="J53" s="111" t="s">
        <v>291</v>
      </c>
      <c r="K53" s="113">
        <v>45.23</v>
      </c>
      <c r="L53" s="113">
        <v>52.13</v>
      </c>
      <c r="M53" s="113">
        <v>56.67</v>
      </c>
      <c r="N53" s="113" t="s">
        <v>291</v>
      </c>
      <c r="O53" s="113" t="s">
        <v>291</v>
      </c>
      <c r="P53" s="113" t="s">
        <v>291</v>
      </c>
      <c r="Q53" s="113" t="s">
        <v>291</v>
      </c>
      <c r="R53" s="113" t="s">
        <v>291</v>
      </c>
      <c r="S53" s="113" t="s">
        <v>291</v>
      </c>
      <c r="T53" s="113" t="s">
        <v>291</v>
      </c>
      <c r="U53" s="113" t="s">
        <v>291</v>
      </c>
      <c r="V53" s="111" t="s">
        <v>291</v>
      </c>
      <c r="W53" s="111" t="s">
        <v>291</v>
      </c>
      <c r="X53" s="113" t="s">
        <v>291</v>
      </c>
      <c r="Y53" s="113" t="s">
        <v>291</v>
      </c>
      <c r="Z53" s="113" t="s">
        <v>291</v>
      </c>
      <c r="AA53" s="120">
        <f>SUM(E53:R53)/3</f>
        <v>51.343333333333334</v>
      </c>
      <c r="AB53" s="122">
        <f t="shared" si="2"/>
        <v>51.343333333333334</v>
      </c>
    </row>
    <row r="54" spans="1:28" ht="15.75" customHeight="1" x14ac:dyDescent="0.2">
      <c r="A54" s="108">
        <v>51</v>
      </c>
      <c r="B54" s="109" t="s">
        <v>378</v>
      </c>
      <c r="C54" s="110" t="s">
        <v>112</v>
      </c>
      <c r="D54" s="112">
        <v>2</v>
      </c>
      <c r="E54" s="111" t="s">
        <v>291</v>
      </c>
      <c r="F54" s="111" t="s">
        <v>291</v>
      </c>
      <c r="G54" s="111" t="s">
        <v>291</v>
      </c>
      <c r="H54" s="111" t="s">
        <v>291</v>
      </c>
      <c r="I54" s="111" t="s">
        <v>291</v>
      </c>
      <c r="J54" s="111" t="s">
        <v>291</v>
      </c>
      <c r="K54" s="111" t="s">
        <v>291</v>
      </c>
      <c r="L54" s="113" t="s">
        <v>291</v>
      </c>
      <c r="M54" s="113" t="s">
        <v>291</v>
      </c>
      <c r="N54" s="113" t="s">
        <v>291</v>
      </c>
      <c r="O54" s="113">
        <v>324.89999999999998</v>
      </c>
      <c r="P54" s="113" t="s">
        <v>291</v>
      </c>
      <c r="Q54" s="113">
        <v>387.9</v>
      </c>
      <c r="R54" s="113" t="s">
        <v>291</v>
      </c>
      <c r="S54" s="113">
        <v>358.02</v>
      </c>
      <c r="T54" s="113" t="s">
        <v>291</v>
      </c>
      <c r="U54" s="113" t="s">
        <v>291</v>
      </c>
      <c r="V54" s="111" t="s">
        <v>291</v>
      </c>
      <c r="W54" s="111" t="s">
        <v>291</v>
      </c>
      <c r="X54" s="113" t="s">
        <v>291</v>
      </c>
      <c r="Y54" s="113" t="s">
        <v>291</v>
      </c>
      <c r="Z54" s="113" t="s">
        <v>291</v>
      </c>
      <c r="AA54" s="120">
        <f t="shared" ref="AA54:AA72" si="4">SUM(E54:Z54)/3</f>
        <v>356.94</v>
      </c>
      <c r="AB54" s="122">
        <f t="shared" si="2"/>
        <v>713.88</v>
      </c>
    </row>
    <row r="55" spans="1:28" ht="15.75" customHeight="1" x14ac:dyDescent="0.2">
      <c r="A55" s="108">
        <v>52</v>
      </c>
      <c r="B55" s="109" t="s">
        <v>212</v>
      </c>
      <c r="C55" s="110" t="s">
        <v>112</v>
      </c>
      <c r="D55" s="112">
        <v>2</v>
      </c>
      <c r="E55" s="111" t="s">
        <v>291</v>
      </c>
      <c r="F55" s="111" t="s">
        <v>291</v>
      </c>
      <c r="G55" s="111" t="s">
        <v>291</v>
      </c>
      <c r="H55" s="111" t="s">
        <v>291</v>
      </c>
      <c r="I55" s="113">
        <v>251.04</v>
      </c>
      <c r="J55" s="111" t="s">
        <v>291</v>
      </c>
      <c r="K55" s="111" t="s">
        <v>291</v>
      </c>
      <c r="L55" s="113">
        <v>272.51</v>
      </c>
      <c r="M55" s="113">
        <v>286.10000000000002</v>
      </c>
      <c r="N55" s="113" t="s">
        <v>291</v>
      </c>
      <c r="O55" s="113" t="s">
        <v>291</v>
      </c>
      <c r="P55" s="113" t="s">
        <v>291</v>
      </c>
      <c r="Q55" s="113" t="s">
        <v>291</v>
      </c>
      <c r="R55" s="113" t="s">
        <v>291</v>
      </c>
      <c r="S55" s="113" t="s">
        <v>291</v>
      </c>
      <c r="T55" s="113" t="s">
        <v>291</v>
      </c>
      <c r="U55" s="113" t="s">
        <v>291</v>
      </c>
      <c r="V55" s="111" t="s">
        <v>291</v>
      </c>
      <c r="W55" s="111" t="s">
        <v>291</v>
      </c>
      <c r="X55" s="113" t="s">
        <v>291</v>
      </c>
      <c r="Y55" s="113" t="s">
        <v>291</v>
      </c>
      <c r="Z55" s="113" t="s">
        <v>291</v>
      </c>
      <c r="AA55" s="120">
        <f t="shared" si="4"/>
        <v>269.88333333333333</v>
      </c>
      <c r="AB55" s="122">
        <f t="shared" si="2"/>
        <v>539.76666666666665</v>
      </c>
    </row>
    <row r="56" spans="1:28" ht="15.75" customHeight="1" x14ac:dyDescent="0.2">
      <c r="A56" s="108">
        <v>53</v>
      </c>
      <c r="B56" s="109" t="s">
        <v>213</v>
      </c>
      <c r="C56" s="110" t="s">
        <v>112</v>
      </c>
      <c r="D56" s="112">
        <v>1</v>
      </c>
      <c r="E56" s="111" t="s">
        <v>291</v>
      </c>
      <c r="F56" s="111" t="s">
        <v>291</v>
      </c>
      <c r="G56" s="111" t="s">
        <v>291</v>
      </c>
      <c r="H56" s="111" t="s">
        <v>291</v>
      </c>
      <c r="I56" s="113">
        <v>374.14</v>
      </c>
      <c r="J56" s="113" t="s">
        <v>291</v>
      </c>
      <c r="K56" s="113">
        <v>419.9</v>
      </c>
      <c r="L56" s="113" t="s">
        <v>291</v>
      </c>
      <c r="M56" s="113">
        <v>599.9</v>
      </c>
      <c r="N56" s="113" t="s">
        <v>291</v>
      </c>
      <c r="O56" s="113" t="s">
        <v>291</v>
      </c>
      <c r="P56" s="113" t="s">
        <v>291</v>
      </c>
      <c r="Q56" s="113" t="s">
        <v>291</v>
      </c>
      <c r="R56" s="113" t="s">
        <v>291</v>
      </c>
      <c r="S56" s="113" t="s">
        <v>291</v>
      </c>
      <c r="T56" s="113" t="s">
        <v>291</v>
      </c>
      <c r="U56" s="113" t="s">
        <v>291</v>
      </c>
      <c r="V56" s="111" t="s">
        <v>291</v>
      </c>
      <c r="W56" s="111" t="s">
        <v>291</v>
      </c>
      <c r="X56" s="113" t="s">
        <v>291</v>
      </c>
      <c r="Y56" s="113" t="s">
        <v>291</v>
      </c>
      <c r="Z56" s="113" t="s">
        <v>291</v>
      </c>
      <c r="AA56" s="120">
        <f t="shared" si="4"/>
        <v>464.6466666666667</v>
      </c>
      <c r="AB56" s="122">
        <f t="shared" si="2"/>
        <v>464.6466666666667</v>
      </c>
    </row>
    <row r="57" spans="1:28" ht="15.75" customHeight="1" x14ac:dyDescent="0.2">
      <c r="A57" s="108">
        <v>54</v>
      </c>
      <c r="B57" s="109" t="s">
        <v>214</v>
      </c>
      <c r="C57" s="110" t="s">
        <v>112</v>
      </c>
      <c r="D57" s="112">
        <v>3</v>
      </c>
      <c r="E57" s="111" t="s">
        <v>291</v>
      </c>
      <c r="F57" s="111" t="s">
        <v>291</v>
      </c>
      <c r="G57" s="111" t="s">
        <v>291</v>
      </c>
      <c r="H57" s="111" t="s">
        <v>291</v>
      </c>
      <c r="I57" s="111" t="s">
        <v>291</v>
      </c>
      <c r="J57" s="111" t="s">
        <v>291</v>
      </c>
      <c r="K57" s="111" t="s">
        <v>291</v>
      </c>
      <c r="L57" s="111" t="s">
        <v>291</v>
      </c>
      <c r="M57" s="111" t="s">
        <v>291</v>
      </c>
      <c r="N57" s="111" t="s">
        <v>291</v>
      </c>
      <c r="O57" s="111" t="s">
        <v>291</v>
      </c>
      <c r="P57" s="111" t="s">
        <v>291</v>
      </c>
      <c r="Q57" s="111" t="s">
        <v>291</v>
      </c>
      <c r="R57" s="111" t="s">
        <v>291</v>
      </c>
      <c r="S57" s="111" t="s">
        <v>291</v>
      </c>
      <c r="T57" s="111" t="s">
        <v>291</v>
      </c>
      <c r="U57" s="113">
        <v>1999.39</v>
      </c>
      <c r="V57" s="113">
        <v>2991.55</v>
      </c>
      <c r="W57" s="113">
        <v>1329.05</v>
      </c>
      <c r="X57" s="113" t="s">
        <v>291</v>
      </c>
      <c r="Y57" s="113" t="s">
        <v>291</v>
      </c>
      <c r="Z57" s="113" t="s">
        <v>291</v>
      </c>
      <c r="AA57" s="120">
        <f t="shared" si="4"/>
        <v>2106.6633333333334</v>
      </c>
      <c r="AB57" s="122">
        <f t="shared" si="2"/>
        <v>6319.99</v>
      </c>
    </row>
    <row r="58" spans="1:28" ht="15.75" customHeight="1" x14ac:dyDescent="0.2">
      <c r="A58" s="108">
        <v>55</v>
      </c>
      <c r="B58" s="109" t="s">
        <v>380</v>
      </c>
      <c r="C58" s="110" t="s">
        <v>112</v>
      </c>
      <c r="D58" s="112">
        <v>1</v>
      </c>
      <c r="E58" s="111" t="s">
        <v>291</v>
      </c>
      <c r="F58" s="111" t="s">
        <v>291</v>
      </c>
      <c r="G58" s="111" t="s">
        <v>291</v>
      </c>
      <c r="H58" s="111" t="s">
        <v>291</v>
      </c>
      <c r="I58" s="113">
        <v>756.89</v>
      </c>
      <c r="J58" s="113" t="s">
        <v>291</v>
      </c>
      <c r="K58" s="113" t="s">
        <v>291</v>
      </c>
      <c r="L58" s="113">
        <v>1331.54</v>
      </c>
      <c r="M58" s="113" t="s">
        <v>291</v>
      </c>
      <c r="N58" s="113">
        <v>554.44000000000005</v>
      </c>
      <c r="O58" s="113" t="s">
        <v>291</v>
      </c>
      <c r="P58" s="113" t="s">
        <v>291</v>
      </c>
      <c r="Q58" s="113" t="s">
        <v>291</v>
      </c>
      <c r="R58" s="113" t="s">
        <v>291</v>
      </c>
      <c r="S58" s="113" t="s">
        <v>291</v>
      </c>
      <c r="T58" s="113" t="s">
        <v>291</v>
      </c>
      <c r="U58" s="115" t="s">
        <v>291</v>
      </c>
      <c r="V58" s="113" t="s">
        <v>291</v>
      </c>
      <c r="W58" s="113" t="s">
        <v>291</v>
      </c>
      <c r="X58" s="113" t="s">
        <v>291</v>
      </c>
      <c r="Y58" s="113" t="s">
        <v>291</v>
      </c>
      <c r="Z58" s="113" t="s">
        <v>291</v>
      </c>
      <c r="AA58" s="120">
        <f t="shared" si="4"/>
        <v>880.95666666666659</v>
      </c>
      <c r="AB58" s="122">
        <f t="shared" si="2"/>
        <v>880.95666666666659</v>
      </c>
    </row>
    <row r="59" spans="1:28" ht="15.75" customHeight="1" x14ac:dyDescent="0.2">
      <c r="A59" s="108">
        <v>56</v>
      </c>
      <c r="B59" s="109" t="s">
        <v>215</v>
      </c>
      <c r="C59" s="110" t="s">
        <v>112</v>
      </c>
      <c r="D59" s="112">
        <v>3</v>
      </c>
      <c r="E59" s="111" t="s">
        <v>291</v>
      </c>
      <c r="F59" s="111" t="s">
        <v>291</v>
      </c>
      <c r="G59" s="111" t="s">
        <v>291</v>
      </c>
      <c r="H59" s="111" t="s">
        <v>291</v>
      </c>
      <c r="I59" s="113">
        <v>26.56</v>
      </c>
      <c r="J59" s="113" t="s">
        <v>291</v>
      </c>
      <c r="K59" s="113" t="s">
        <v>291</v>
      </c>
      <c r="L59" s="113" t="s">
        <v>291</v>
      </c>
      <c r="M59" s="113">
        <v>37</v>
      </c>
      <c r="N59" s="113">
        <v>23.51</v>
      </c>
      <c r="O59" s="113" t="s">
        <v>291</v>
      </c>
      <c r="P59" s="113" t="s">
        <v>291</v>
      </c>
      <c r="Q59" s="113" t="s">
        <v>291</v>
      </c>
      <c r="R59" s="113" t="s">
        <v>291</v>
      </c>
      <c r="S59" s="113" t="s">
        <v>291</v>
      </c>
      <c r="T59" s="113" t="s">
        <v>291</v>
      </c>
      <c r="U59" s="113" t="s">
        <v>291</v>
      </c>
      <c r="V59" s="113" t="s">
        <v>291</v>
      </c>
      <c r="W59" s="113" t="s">
        <v>291</v>
      </c>
      <c r="X59" s="113" t="s">
        <v>291</v>
      </c>
      <c r="Y59" s="113" t="s">
        <v>291</v>
      </c>
      <c r="Z59" s="113" t="s">
        <v>291</v>
      </c>
      <c r="AA59" s="120">
        <f t="shared" si="4"/>
        <v>29.023333333333337</v>
      </c>
      <c r="AB59" s="122">
        <f t="shared" si="2"/>
        <v>87.070000000000007</v>
      </c>
    </row>
    <row r="60" spans="1:28" ht="15.75" customHeight="1" x14ac:dyDescent="0.2">
      <c r="A60" s="108">
        <v>57</v>
      </c>
      <c r="B60" s="109" t="s">
        <v>382</v>
      </c>
      <c r="C60" s="110" t="s">
        <v>112</v>
      </c>
      <c r="D60" s="112">
        <v>1</v>
      </c>
      <c r="E60" s="111" t="s">
        <v>291</v>
      </c>
      <c r="F60" s="111" t="s">
        <v>291</v>
      </c>
      <c r="G60" s="111" t="s">
        <v>291</v>
      </c>
      <c r="H60" s="111" t="s">
        <v>291</v>
      </c>
      <c r="I60" s="113">
        <v>351.9</v>
      </c>
      <c r="J60" s="113">
        <v>281</v>
      </c>
      <c r="K60" s="113" t="s">
        <v>291</v>
      </c>
      <c r="L60" s="113" t="s">
        <v>291</v>
      </c>
      <c r="M60" s="113" t="s">
        <v>291</v>
      </c>
      <c r="N60" s="113">
        <v>300</v>
      </c>
      <c r="O60" s="113" t="s">
        <v>291</v>
      </c>
      <c r="P60" s="113" t="s">
        <v>291</v>
      </c>
      <c r="Q60" s="113" t="s">
        <v>291</v>
      </c>
      <c r="R60" s="113" t="s">
        <v>291</v>
      </c>
      <c r="S60" s="113" t="s">
        <v>291</v>
      </c>
      <c r="T60" s="113" t="s">
        <v>291</v>
      </c>
      <c r="U60" s="113" t="s">
        <v>291</v>
      </c>
      <c r="V60" s="113" t="s">
        <v>291</v>
      </c>
      <c r="W60" s="113" t="s">
        <v>291</v>
      </c>
      <c r="X60" s="113" t="s">
        <v>291</v>
      </c>
      <c r="Y60" s="113" t="s">
        <v>291</v>
      </c>
      <c r="Z60" s="113" t="s">
        <v>291</v>
      </c>
      <c r="AA60" s="120">
        <f t="shared" si="4"/>
        <v>310.96666666666664</v>
      </c>
      <c r="AB60" s="122">
        <f t="shared" si="2"/>
        <v>310.96666666666664</v>
      </c>
    </row>
    <row r="61" spans="1:28" ht="15.75" customHeight="1" x14ac:dyDescent="0.2">
      <c r="A61" s="108">
        <v>58</v>
      </c>
      <c r="B61" s="109" t="s">
        <v>397</v>
      </c>
      <c r="C61" s="110" t="s">
        <v>112</v>
      </c>
      <c r="D61" s="112">
        <v>1</v>
      </c>
      <c r="E61" s="111" t="s">
        <v>291</v>
      </c>
      <c r="F61" s="111" t="s">
        <v>291</v>
      </c>
      <c r="G61" s="111" t="s">
        <v>291</v>
      </c>
      <c r="H61" s="111" t="s">
        <v>291</v>
      </c>
      <c r="I61" s="113" t="s">
        <v>291</v>
      </c>
      <c r="J61" s="113">
        <v>309.99</v>
      </c>
      <c r="K61" s="113" t="s">
        <v>291</v>
      </c>
      <c r="L61" s="113" t="s">
        <v>291</v>
      </c>
      <c r="M61" s="113" t="s">
        <v>291</v>
      </c>
      <c r="N61" s="113" t="s">
        <v>291</v>
      </c>
      <c r="O61" s="113" t="s">
        <v>291</v>
      </c>
      <c r="P61" s="113" t="s">
        <v>291</v>
      </c>
      <c r="Q61" s="113" t="s">
        <v>291</v>
      </c>
      <c r="R61" s="113" t="s">
        <v>291</v>
      </c>
      <c r="S61" s="113" t="s">
        <v>291</v>
      </c>
      <c r="T61" s="113">
        <v>246.23</v>
      </c>
      <c r="U61" s="113">
        <v>270.36</v>
      </c>
      <c r="V61" s="113" t="s">
        <v>291</v>
      </c>
      <c r="W61" s="113" t="s">
        <v>291</v>
      </c>
      <c r="X61" s="113" t="s">
        <v>291</v>
      </c>
      <c r="Y61" s="113" t="s">
        <v>291</v>
      </c>
      <c r="Z61" s="113" t="s">
        <v>291</v>
      </c>
      <c r="AA61" s="120">
        <f t="shared" si="4"/>
        <v>275.5266666666667</v>
      </c>
      <c r="AB61" s="122">
        <f t="shared" si="2"/>
        <v>275.5266666666667</v>
      </c>
    </row>
    <row r="62" spans="1:28" ht="15.75" customHeight="1" x14ac:dyDescent="0.2">
      <c r="A62" s="108">
        <v>59</v>
      </c>
      <c r="B62" s="109" t="s">
        <v>216</v>
      </c>
      <c r="C62" s="110" t="s">
        <v>112</v>
      </c>
      <c r="D62" s="112">
        <v>2</v>
      </c>
      <c r="E62" s="111" t="s">
        <v>291</v>
      </c>
      <c r="F62" s="111" t="s">
        <v>291</v>
      </c>
      <c r="G62" s="111" t="s">
        <v>291</v>
      </c>
      <c r="H62" s="111" t="s">
        <v>291</v>
      </c>
      <c r="I62" s="113">
        <v>1211</v>
      </c>
      <c r="J62" s="113">
        <v>1222.21</v>
      </c>
      <c r="K62" s="113">
        <v>1219.9000000000001</v>
      </c>
      <c r="L62" s="113" t="s">
        <v>291</v>
      </c>
      <c r="M62" s="113" t="s">
        <v>291</v>
      </c>
      <c r="N62" s="113" t="s">
        <v>291</v>
      </c>
      <c r="O62" s="113" t="s">
        <v>291</v>
      </c>
      <c r="P62" s="113" t="s">
        <v>291</v>
      </c>
      <c r="Q62" s="113" t="s">
        <v>291</v>
      </c>
      <c r="R62" s="113" t="s">
        <v>291</v>
      </c>
      <c r="S62" s="113" t="s">
        <v>291</v>
      </c>
      <c r="T62" s="113" t="s">
        <v>291</v>
      </c>
      <c r="U62" s="113" t="s">
        <v>291</v>
      </c>
      <c r="V62" s="113" t="s">
        <v>291</v>
      </c>
      <c r="W62" s="113" t="s">
        <v>291</v>
      </c>
      <c r="X62" s="113" t="s">
        <v>291</v>
      </c>
      <c r="Y62" s="113" t="s">
        <v>291</v>
      </c>
      <c r="Z62" s="113" t="s">
        <v>291</v>
      </c>
      <c r="AA62" s="120">
        <f t="shared" si="4"/>
        <v>1217.7033333333334</v>
      </c>
      <c r="AB62" s="122">
        <f t="shared" si="2"/>
        <v>2435.4066666666668</v>
      </c>
    </row>
    <row r="63" spans="1:28" ht="15.75" customHeight="1" x14ac:dyDescent="0.2">
      <c r="A63" s="108">
        <v>60</v>
      </c>
      <c r="B63" s="109" t="s">
        <v>217</v>
      </c>
      <c r="C63" s="110" t="s">
        <v>112</v>
      </c>
      <c r="D63" s="112">
        <v>6</v>
      </c>
      <c r="E63" s="111" t="s">
        <v>291</v>
      </c>
      <c r="F63" s="111" t="s">
        <v>291</v>
      </c>
      <c r="G63" s="111" t="s">
        <v>291</v>
      </c>
      <c r="H63" s="111" t="s">
        <v>291</v>
      </c>
      <c r="I63" s="113">
        <v>23.22</v>
      </c>
      <c r="J63" s="113">
        <v>34.43</v>
      </c>
      <c r="K63" s="113" t="s">
        <v>291</v>
      </c>
      <c r="L63" s="113">
        <v>35.44</v>
      </c>
      <c r="M63" s="113" t="s">
        <v>291</v>
      </c>
      <c r="N63" s="113" t="s">
        <v>291</v>
      </c>
      <c r="O63" s="113" t="s">
        <v>291</v>
      </c>
      <c r="P63" s="113" t="s">
        <v>291</v>
      </c>
      <c r="Q63" s="113" t="s">
        <v>291</v>
      </c>
      <c r="R63" s="113" t="s">
        <v>291</v>
      </c>
      <c r="S63" s="113" t="s">
        <v>291</v>
      </c>
      <c r="T63" s="113" t="s">
        <v>291</v>
      </c>
      <c r="U63" s="113" t="s">
        <v>291</v>
      </c>
      <c r="V63" s="113" t="s">
        <v>291</v>
      </c>
      <c r="W63" s="113" t="s">
        <v>291</v>
      </c>
      <c r="X63" s="113" t="s">
        <v>291</v>
      </c>
      <c r="Y63" s="113" t="s">
        <v>291</v>
      </c>
      <c r="Z63" s="113" t="s">
        <v>291</v>
      </c>
      <c r="AA63" s="120">
        <f t="shared" si="4"/>
        <v>31.03</v>
      </c>
      <c r="AB63" s="122">
        <f t="shared" si="2"/>
        <v>186.18</v>
      </c>
    </row>
    <row r="64" spans="1:28" ht="15.75" customHeight="1" x14ac:dyDescent="0.2">
      <c r="A64" s="108">
        <v>61</v>
      </c>
      <c r="B64" s="109" t="s">
        <v>218</v>
      </c>
      <c r="C64" s="110" t="s">
        <v>112</v>
      </c>
      <c r="D64" s="112">
        <v>3</v>
      </c>
      <c r="E64" s="111" t="s">
        <v>291</v>
      </c>
      <c r="F64" s="111" t="s">
        <v>291</v>
      </c>
      <c r="G64" s="111" t="s">
        <v>291</v>
      </c>
      <c r="H64" s="111" t="s">
        <v>291</v>
      </c>
      <c r="I64" s="111" t="s">
        <v>291</v>
      </c>
      <c r="J64" s="111" t="s">
        <v>291</v>
      </c>
      <c r="K64" s="111" t="s">
        <v>291</v>
      </c>
      <c r="L64" s="111" t="s">
        <v>291</v>
      </c>
      <c r="M64" s="111" t="s">
        <v>291</v>
      </c>
      <c r="N64" s="111" t="s">
        <v>291</v>
      </c>
      <c r="O64" s="111" t="s">
        <v>291</v>
      </c>
      <c r="P64" s="111" t="s">
        <v>291</v>
      </c>
      <c r="Q64" s="113">
        <v>14.1</v>
      </c>
      <c r="R64" s="113">
        <v>16.22</v>
      </c>
      <c r="S64" s="113">
        <v>14.67</v>
      </c>
      <c r="T64" s="113" t="s">
        <v>291</v>
      </c>
      <c r="U64" s="113" t="s">
        <v>291</v>
      </c>
      <c r="V64" s="113" t="s">
        <v>291</v>
      </c>
      <c r="W64" s="113" t="s">
        <v>291</v>
      </c>
      <c r="X64" s="113" t="s">
        <v>291</v>
      </c>
      <c r="Y64" s="113" t="s">
        <v>291</v>
      </c>
      <c r="Z64" s="113" t="s">
        <v>291</v>
      </c>
      <c r="AA64" s="120">
        <f t="shared" si="4"/>
        <v>14.996666666666668</v>
      </c>
      <c r="AB64" s="122">
        <f t="shared" si="2"/>
        <v>44.99</v>
      </c>
    </row>
    <row r="65" spans="1:28" ht="15.75" customHeight="1" x14ac:dyDescent="0.2">
      <c r="A65" s="108">
        <v>62</v>
      </c>
      <c r="B65" s="109" t="s">
        <v>219</v>
      </c>
      <c r="C65" s="110" t="s">
        <v>112</v>
      </c>
      <c r="D65" s="112">
        <v>1</v>
      </c>
      <c r="E65" s="111" t="s">
        <v>291</v>
      </c>
      <c r="F65" s="111" t="s">
        <v>291</v>
      </c>
      <c r="G65" s="111" t="s">
        <v>291</v>
      </c>
      <c r="H65" s="111" t="s">
        <v>291</v>
      </c>
      <c r="I65" s="111" t="s">
        <v>291</v>
      </c>
      <c r="J65" s="113">
        <v>387.77</v>
      </c>
      <c r="K65" s="111" t="s">
        <v>291</v>
      </c>
      <c r="L65" s="111" t="s">
        <v>291</v>
      </c>
      <c r="M65" s="111" t="s">
        <v>291</v>
      </c>
      <c r="N65" s="111" t="s">
        <v>291</v>
      </c>
      <c r="O65" s="111" t="s">
        <v>291</v>
      </c>
      <c r="P65" s="111" t="s">
        <v>291</v>
      </c>
      <c r="Q65" s="113">
        <v>302.5</v>
      </c>
      <c r="R65" s="113" t="s">
        <v>291</v>
      </c>
      <c r="S65" s="113">
        <v>338.37</v>
      </c>
      <c r="T65" s="113" t="s">
        <v>291</v>
      </c>
      <c r="U65" s="113" t="s">
        <v>291</v>
      </c>
      <c r="V65" s="113" t="s">
        <v>291</v>
      </c>
      <c r="W65" s="113" t="s">
        <v>291</v>
      </c>
      <c r="X65" s="113" t="s">
        <v>291</v>
      </c>
      <c r="Y65" s="113" t="s">
        <v>291</v>
      </c>
      <c r="Z65" s="113" t="s">
        <v>291</v>
      </c>
      <c r="AA65" s="120">
        <f t="shared" si="4"/>
        <v>342.87999999999994</v>
      </c>
      <c r="AB65" s="122">
        <f t="shared" si="2"/>
        <v>342.87999999999994</v>
      </c>
    </row>
    <row r="66" spans="1:28" ht="15.75" customHeight="1" x14ac:dyDescent="0.2">
      <c r="A66" s="108">
        <v>63</v>
      </c>
      <c r="B66" s="109" t="s">
        <v>385</v>
      </c>
      <c r="C66" s="110" t="s">
        <v>112</v>
      </c>
      <c r="D66" s="112">
        <v>1</v>
      </c>
      <c r="E66" s="111" t="s">
        <v>291</v>
      </c>
      <c r="F66" s="111">
        <v>1430</v>
      </c>
      <c r="G66" s="111">
        <v>1550</v>
      </c>
      <c r="H66" s="111">
        <v>1359</v>
      </c>
      <c r="I66" s="113" t="s">
        <v>291</v>
      </c>
      <c r="J66" s="113" t="s">
        <v>291</v>
      </c>
      <c r="K66" s="113" t="s">
        <v>291</v>
      </c>
      <c r="L66" s="113" t="s">
        <v>291</v>
      </c>
      <c r="M66" s="113" t="s">
        <v>291</v>
      </c>
      <c r="N66" s="113" t="s">
        <v>291</v>
      </c>
      <c r="O66" s="113" t="s">
        <v>291</v>
      </c>
      <c r="P66" s="113" t="s">
        <v>291</v>
      </c>
      <c r="Q66" s="113" t="s">
        <v>291</v>
      </c>
      <c r="R66" s="113" t="s">
        <v>291</v>
      </c>
      <c r="S66" s="113" t="s">
        <v>291</v>
      </c>
      <c r="T66" s="113" t="s">
        <v>291</v>
      </c>
      <c r="U66" s="113" t="s">
        <v>291</v>
      </c>
      <c r="V66" s="113" t="s">
        <v>291</v>
      </c>
      <c r="W66" s="113" t="s">
        <v>291</v>
      </c>
      <c r="X66" s="113" t="s">
        <v>291</v>
      </c>
      <c r="Y66" s="113" t="s">
        <v>291</v>
      </c>
      <c r="Z66" s="113" t="s">
        <v>291</v>
      </c>
      <c r="AA66" s="120">
        <f t="shared" si="4"/>
        <v>1446.3333333333333</v>
      </c>
      <c r="AB66" s="122">
        <f t="shared" si="2"/>
        <v>1446.3333333333333</v>
      </c>
    </row>
    <row r="67" spans="1:28" ht="15.75" customHeight="1" x14ac:dyDescent="0.2">
      <c r="A67" s="108">
        <v>64</v>
      </c>
      <c r="B67" s="109" t="s">
        <v>387</v>
      </c>
      <c r="C67" s="110" t="s">
        <v>112</v>
      </c>
      <c r="D67" s="112">
        <v>1</v>
      </c>
      <c r="E67" s="111" t="s">
        <v>291</v>
      </c>
      <c r="F67" s="111" t="s">
        <v>291</v>
      </c>
      <c r="G67" s="111" t="s">
        <v>291</v>
      </c>
      <c r="H67" s="111" t="s">
        <v>291</v>
      </c>
      <c r="I67" s="111" t="s">
        <v>291</v>
      </c>
      <c r="J67" s="111" t="s">
        <v>291</v>
      </c>
      <c r="K67" s="111" t="s">
        <v>291</v>
      </c>
      <c r="L67" s="111" t="s">
        <v>291</v>
      </c>
      <c r="M67" s="111" t="s">
        <v>291</v>
      </c>
      <c r="N67" s="111" t="s">
        <v>291</v>
      </c>
      <c r="O67" s="111" t="s">
        <v>291</v>
      </c>
      <c r="P67" s="111" t="s">
        <v>291</v>
      </c>
      <c r="Q67" s="113">
        <v>4201</v>
      </c>
      <c r="R67" s="113" t="s">
        <v>291</v>
      </c>
      <c r="S67" s="113">
        <v>4779.99</v>
      </c>
      <c r="T67" s="113" t="s">
        <v>291</v>
      </c>
      <c r="U67" s="113">
        <v>4679.99</v>
      </c>
      <c r="V67" s="113" t="s">
        <v>291</v>
      </c>
      <c r="W67" s="113" t="s">
        <v>291</v>
      </c>
      <c r="X67" s="113" t="s">
        <v>291</v>
      </c>
      <c r="Y67" s="113" t="s">
        <v>291</v>
      </c>
      <c r="Z67" s="113" t="s">
        <v>291</v>
      </c>
      <c r="AA67" s="120">
        <f t="shared" si="4"/>
        <v>4553.66</v>
      </c>
      <c r="AB67" s="122">
        <f t="shared" si="2"/>
        <v>4553.66</v>
      </c>
    </row>
    <row r="68" spans="1:28" ht="15.75" customHeight="1" x14ac:dyDescent="0.2">
      <c r="A68" s="108">
        <v>65</v>
      </c>
      <c r="B68" s="109" t="s">
        <v>220</v>
      </c>
      <c r="C68" s="110" t="s">
        <v>112</v>
      </c>
      <c r="D68" s="112">
        <v>2</v>
      </c>
      <c r="E68" s="111" t="s">
        <v>291</v>
      </c>
      <c r="F68" s="111" t="s">
        <v>291</v>
      </c>
      <c r="G68" s="111" t="s">
        <v>291</v>
      </c>
      <c r="H68" s="111" t="s">
        <v>291</v>
      </c>
      <c r="I68" s="113">
        <v>49.9</v>
      </c>
      <c r="J68" s="111" t="s">
        <v>291</v>
      </c>
      <c r="K68" s="111" t="s">
        <v>291</v>
      </c>
      <c r="L68" s="113">
        <v>34</v>
      </c>
      <c r="M68" s="111" t="s">
        <v>291</v>
      </c>
      <c r="N68" s="113">
        <v>36</v>
      </c>
      <c r="O68" s="111" t="s">
        <v>291</v>
      </c>
      <c r="P68" s="111" t="s">
        <v>291</v>
      </c>
      <c r="Q68" s="111" t="s">
        <v>291</v>
      </c>
      <c r="R68" s="111" t="s">
        <v>291</v>
      </c>
      <c r="S68" s="111" t="s">
        <v>291</v>
      </c>
      <c r="T68" s="111" t="s">
        <v>291</v>
      </c>
      <c r="U68" s="111" t="s">
        <v>291</v>
      </c>
      <c r="V68" s="113" t="s">
        <v>291</v>
      </c>
      <c r="W68" s="113" t="s">
        <v>291</v>
      </c>
      <c r="X68" s="111" t="s">
        <v>291</v>
      </c>
      <c r="Y68" s="111" t="s">
        <v>291</v>
      </c>
      <c r="Z68" s="111" t="s">
        <v>291</v>
      </c>
      <c r="AA68" s="120">
        <f t="shared" si="4"/>
        <v>39.966666666666669</v>
      </c>
      <c r="AB68" s="122">
        <f t="shared" ref="AB68:AB72" si="5">AA68*D68</f>
        <v>79.933333333333337</v>
      </c>
    </row>
    <row r="69" spans="1:28" ht="30.75" customHeight="1" x14ac:dyDescent="0.2">
      <c r="A69" s="108">
        <v>66</v>
      </c>
      <c r="B69" s="99" t="s">
        <v>389</v>
      </c>
      <c r="C69" s="110" t="s">
        <v>112</v>
      </c>
      <c r="D69" s="112">
        <v>6</v>
      </c>
      <c r="E69" s="111" t="s">
        <v>291</v>
      </c>
      <c r="F69" s="111" t="s">
        <v>291</v>
      </c>
      <c r="G69" s="111" t="s">
        <v>291</v>
      </c>
      <c r="H69" s="111" t="s">
        <v>291</v>
      </c>
      <c r="I69" s="113" t="s">
        <v>291</v>
      </c>
      <c r="J69" s="113">
        <v>144.49</v>
      </c>
      <c r="K69" s="113" t="s">
        <v>291</v>
      </c>
      <c r="L69" s="113" t="s">
        <v>291</v>
      </c>
      <c r="M69" s="113" t="s">
        <v>291</v>
      </c>
      <c r="N69" s="113" t="s">
        <v>291</v>
      </c>
      <c r="O69" s="111" t="s">
        <v>291</v>
      </c>
      <c r="P69" s="111" t="s">
        <v>291</v>
      </c>
      <c r="Q69" s="113">
        <v>117.25</v>
      </c>
      <c r="R69" s="111" t="s">
        <v>291</v>
      </c>
      <c r="S69" s="111" t="s">
        <v>291</v>
      </c>
      <c r="T69" s="113">
        <v>163.9</v>
      </c>
      <c r="U69" s="111" t="s">
        <v>291</v>
      </c>
      <c r="V69" s="113" t="s">
        <v>291</v>
      </c>
      <c r="W69" s="113" t="s">
        <v>291</v>
      </c>
      <c r="X69" s="111" t="s">
        <v>291</v>
      </c>
      <c r="Y69" s="111" t="s">
        <v>291</v>
      </c>
      <c r="Z69" s="111" t="s">
        <v>291</v>
      </c>
      <c r="AA69" s="120">
        <f t="shared" si="4"/>
        <v>141.88</v>
      </c>
      <c r="AB69" s="122">
        <f t="shared" si="5"/>
        <v>851.28</v>
      </c>
    </row>
    <row r="70" spans="1:28" ht="15.75" customHeight="1" x14ac:dyDescent="0.2">
      <c r="A70" s="108">
        <v>67</v>
      </c>
      <c r="B70" s="109" t="s">
        <v>221</v>
      </c>
      <c r="C70" s="110" t="s">
        <v>112</v>
      </c>
      <c r="D70" s="112">
        <v>2</v>
      </c>
      <c r="E70" s="111" t="s">
        <v>291</v>
      </c>
      <c r="F70" s="111" t="s">
        <v>291</v>
      </c>
      <c r="G70" s="111" t="s">
        <v>291</v>
      </c>
      <c r="H70" s="111" t="s">
        <v>291</v>
      </c>
      <c r="I70" s="111" t="s">
        <v>291</v>
      </c>
      <c r="J70" s="111" t="s">
        <v>291</v>
      </c>
      <c r="K70" s="111" t="s">
        <v>291</v>
      </c>
      <c r="L70" s="111" t="s">
        <v>291</v>
      </c>
      <c r="M70" s="111" t="s">
        <v>291</v>
      </c>
      <c r="N70" s="111" t="s">
        <v>291</v>
      </c>
      <c r="O70" s="111" t="s">
        <v>291</v>
      </c>
      <c r="P70" s="111" t="s">
        <v>291</v>
      </c>
      <c r="Q70" s="111" t="s">
        <v>291</v>
      </c>
      <c r="R70" s="111" t="s">
        <v>291</v>
      </c>
      <c r="S70" s="113">
        <v>622.04</v>
      </c>
      <c r="T70" s="113">
        <v>739</v>
      </c>
      <c r="U70" s="113">
        <v>664.59</v>
      </c>
      <c r="V70" s="113" t="s">
        <v>291</v>
      </c>
      <c r="W70" s="113" t="s">
        <v>291</v>
      </c>
      <c r="X70" s="113" t="s">
        <v>291</v>
      </c>
      <c r="Y70" s="113" t="s">
        <v>291</v>
      </c>
      <c r="Z70" s="113" t="s">
        <v>291</v>
      </c>
      <c r="AA70" s="120">
        <f t="shared" si="4"/>
        <v>675.21</v>
      </c>
      <c r="AB70" s="122">
        <f t="shared" si="5"/>
        <v>1350.42</v>
      </c>
    </row>
    <row r="71" spans="1:28" ht="15.75" customHeight="1" x14ac:dyDescent="0.2">
      <c r="A71" s="108">
        <v>68</v>
      </c>
      <c r="B71" s="109" t="s">
        <v>390</v>
      </c>
      <c r="C71" s="110" t="s">
        <v>112</v>
      </c>
      <c r="D71" s="112">
        <v>6</v>
      </c>
      <c r="E71" s="111" t="s">
        <v>291</v>
      </c>
      <c r="F71" s="111" t="s">
        <v>291</v>
      </c>
      <c r="G71" s="111" t="s">
        <v>291</v>
      </c>
      <c r="H71" s="111" t="s">
        <v>291</v>
      </c>
      <c r="I71" s="113">
        <v>180</v>
      </c>
      <c r="J71" s="113">
        <v>110.99</v>
      </c>
      <c r="K71" s="111" t="s">
        <v>291</v>
      </c>
      <c r="L71" s="111" t="s">
        <v>291</v>
      </c>
      <c r="M71" s="113">
        <v>111.1</v>
      </c>
      <c r="N71" s="111" t="s">
        <v>291</v>
      </c>
      <c r="O71" s="111" t="s">
        <v>291</v>
      </c>
      <c r="P71" s="111" t="s">
        <v>291</v>
      </c>
      <c r="Q71" s="111" t="s">
        <v>291</v>
      </c>
      <c r="R71" s="111" t="s">
        <v>291</v>
      </c>
      <c r="S71" s="113" t="s">
        <v>291</v>
      </c>
      <c r="T71" s="113" t="s">
        <v>291</v>
      </c>
      <c r="U71" s="113" t="s">
        <v>291</v>
      </c>
      <c r="V71" s="113" t="s">
        <v>291</v>
      </c>
      <c r="W71" s="113" t="s">
        <v>291</v>
      </c>
      <c r="X71" s="113" t="s">
        <v>291</v>
      </c>
      <c r="Y71" s="113" t="s">
        <v>291</v>
      </c>
      <c r="Z71" s="113" t="s">
        <v>291</v>
      </c>
      <c r="AA71" s="120">
        <f t="shared" si="4"/>
        <v>134.03</v>
      </c>
      <c r="AB71" s="122">
        <f t="shared" si="5"/>
        <v>804.18000000000006</v>
      </c>
    </row>
    <row r="72" spans="1:28" ht="15.75" customHeight="1" x14ac:dyDescent="0.2">
      <c r="A72" s="108">
        <v>69</v>
      </c>
      <c r="B72" s="109" t="s">
        <v>222</v>
      </c>
      <c r="C72" s="110" t="s">
        <v>112</v>
      </c>
      <c r="D72" s="112">
        <v>6</v>
      </c>
      <c r="E72" s="111" t="s">
        <v>291</v>
      </c>
      <c r="F72" s="111" t="s">
        <v>291</v>
      </c>
      <c r="G72" s="111" t="s">
        <v>291</v>
      </c>
      <c r="H72" s="111" t="s">
        <v>291</v>
      </c>
      <c r="I72" s="113">
        <v>29.89</v>
      </c>
      <c r="J72" s="113" t="s">
        <v>291</v>
      </c>
      <c r="K72" s="113">
        <v>25.61</v>
      </c>
      <c r="L72" s="113" t="s">
        <v>291</v>
      </c>
      <c r="M72" s="113">
        <v>27.22</v>
      </c>
      <c r="N72" s="113" t="s">
        <v>291</v>
      </c>
      <c r="O72" s="113" t="s">
        <v>291</v>
      </c>
      <c r="P72" s="113" t="s">
        <v>291</v>
      </c>
      <c r="Q72" s="113" t="s">
        <v>291</v>
      </c>
      <c r="R72" s="113" t="s">
        <v>291</v>
      </c>
      <c r="S72" s="113" t="s">
        <v>291</v>
      </c>
      <c r="T72" s="113" t="s">
        <v>291</v>
      </c>
      <c r="U72" s="113" t="s">
        <v>291</v>
      </c>
      <c r="V72" s="113" t="s">
        <v>291</v>
      </c>
      <c r="W72" s="113" t="s">
        <v>291</v>
      </c>
      <c r="X72" s="113" t="s">
        <v>291</v>
      </c>
      <c r="Y72" s="113" t="s">
        <v>291</v>
      </c>
      <c r="Z72" s="113" t="s">
        <v>291</v>
      </c>
      <c r="AA72" s="120">
        <f t="shared" si="4"/>
        <v>27.573333333333334</v>
      </c>
      <c r="AB72" s="122">
        <f t="shared" si="5"/>
        <v>165.44</v>
      </c>
    </row>
    <row r="73" spans="1:28" ht="17.25" customHeight="1" x14ac:dyDescent="0.2">
      <c r="A73" s="332" t="s">
        <v>223</v>
      </c>
      <c r="B73" s="332"/>
      <c r="C73" s="332"/>
      <c r="D73" s="332"/>
      <c r="E73" s="332"/>
      <c r="F73" s="332"/>
      <c r="G73" s="332"/>
      <c r="H73" s="332"/>
      <c r="I73" s="332"/>
      <c r="J73" s="332"/>
      <c r="K73" s="332"/>
      <c r="L73" s="332"/>
      <c r="M73" s="332"/>
      <c r="N73" s="332"/>
      <c r="O73" s="332"/>
      <c r="P73" s="332"/>
      <c r="Q73" s="332"/>
      <c r="R73" s="332"/>
      <c r="S73" s="332"/>
      <c r="T73" s="332"/>
      <c r="U73" s="332"/>
      <c r="V73" s="332"/>
      <c r="W73" s="332"/>
      <c r="X73" s="332"/>
      <c r="Y73" s="332"/>
      <c r="Z73" s="332"/>
      <c r="AA73" s="332"/>
      <c r="AB73" s="132">
        <f>SUM(AB4:AB72)</f>
        <v>47096.033333333333</v>
      </c>
    </row>
    <row r="74" spans="1:28" ht="17.25" customHeight="1" x14ac:dyDescent="0.2">
      <c r="A74" s="332" t="s">
        <v>224</v>
      </c>
      <c r="B74" s="332"/>
      <c r="C74" s="332"/>
      <c r="D74" s="332"/>
      <c r="E74" s="332"/>
      <c r="F74" s="332"/>
      <c r="G74" s="332"/>
      <c r="H74" s="332"/>
      <c r="I74" s="332"/>
      <c r="J74" s="332"/>
      <c r="K74" s="332"/>
      <c r="L74" s="332"/>
      <c r="M74" s="332"/>
      <c r="N74" s="332"/>
      <c r="O74" s="332"/>
      <c r="P74" s="332"/>
      <c r="Q74" s="332"/>
      <c r="R74" s="332"/>
      <c r="S74" s="332"/>
      <c r="T74" s="332"/>
      <c r="U74" s="332"/>
      <c r="V74" s="332"/>
      <c r="W74" s="332"/>
      <c r="X74" s="332"/>
      <c r="Y74" s="332"/>
      <c r="Z74" s="332"/>
      <c r="AA74" s="332"/>
      <c r="AB74" s="132">
        <f>SUM(AB73*20%)</f>
        <v>9419.2066666666669</v>
      </c>
    </row>
    <row r="75" spans="1:28" ht="17.25" customHeight="1" x14ac:dyDescent="0.2">
      <c r="A75" s="332" t="s">
        <v>225</v>
      </c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2"/>
      <c r="T75" s="332"/>
      <c r="U75" s="332"/>
      <c r="V75" s="332"/>
      <c r="W75" s="332"/>
      <c r="X75" s="332"/>
      <c r="Y75" s="332"/>
      <c r="Z75" s="332"/>
      <c r="AA75" s="332"/>
      <c r="AB75" s="132">
        <f>SUM(AB74*4)</f>
        <v>37676.826666666668</v>
      </c>
    </row>
    <row r="76" spans="1:28" ht="17.25" customHeight="1" x14ac:dyDescent="0.2">
      <c r="A76" s="332" t="s">
        <v>226</v>
      </c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2"/>
      <c r="T76" s="332"/>
      <c r="U76" s="332"/>
      <c r="V76" s="332"/>
      <c r="W76" s="332"/>
      <c r="X76" s="332"/>
      <c r="Y76" s="332"/>
      <c r="Z76" s="332"/>
      <c r="AA76" s="332"/>
      <c r="AB76" s="132">
        <f>SUM(AB75/60)</f>
        <v>627.9471111111111</v>
      </c>
    </row>
    <row r="77" spans="1:28" ht="18.75" x14ac:dyDescent="0.2">
      <c r="A77" s="332" t="s">
        <v>275</v>
      </c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2"/>
      <c r="V77" s="332"/>
      <c r="W77" s="332"/>
      <c r="X77" s="332"/>
      <c r="Y77" s="332"/>
      <c r="Z77" s="332"/>
      <c r="AA77" s="332"/>
      <c r="AB77" s="132">
        <f>SUM(AB76/14)</f>
        <v>44.853365079365076</v>
      </c>
    </row>
    <row r="79" spans="1:28" x14ac:dyDescent="0.2">
      <c r="B79" s="116"/>
    </row>
  </sheetData>
  <mergeCells count="10">
    <mergeCell ref="E1:Z1"/>
    <mergeCell ref="F2:Z2"/>
    <mergeCell ref="AA1:AB2"/>
    <mergeCell ref="A76:AA76"/>
    <mergeCell ref="A77:AA77"/>
    <mergeCell ref="A73:AA73"/>
    <mergeCell ref="A74:AA74"/>
    <mergeCell ref="A75:AA75"/>
    <mergeCell ref="A1:D2"/>
    <mergeCell ref="E2:E3"/>
  </mergeCells>
  <pageMargins left="0.51181102362204722" right="0.51181102362204722" top="1.3779527559055118" bottom="0.78740157480314965" header="0.31496062992125984" footer="0.31496062992125984"/>
  <pageSetup paperSize="9" scale="53" orientation="portrait" r:id="rId1"/>
  <headerFooter>
    <oddHeader>&amp;C&amp;G</oddHeader>
  </headerFooter>
  <ignoredErrors>
    <ignoredError sqref="AA5" formulaRange="1"/>
    <ignoredError sqref="AA10 AA38" formula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O31"/>
  <sheetViews>
    <sheetView topLeftCell="A15" zoomScale="80" zoomScaleNormal="80" zoomScaleSheetLayoutView="100" workbookViewId="0">
      <selection activeCell="P35" sqref="P35"/>
    </sheetView>
  </sheetViews>
  <sheetFormatPr defaultColWidth="19" defaultRowHeight="15.75" x14ac:dyDescent="0.25"/>
  <cols>
    <col min="1" max="1" width="6.83203125" style="14" bestFit="1" customWidth="1"/>
    <col min="2" max="2" width="68.6640625" style="14" customWidth="1"/>
    <col min="3" max="3" width="9.33203125" style="14" customWidth="1"/>
    <col min="4" max="4" width="11.1640625" style="14" customWidth="1"/>
    <col min="5" max="14" width="19" style="101"/>
    <col min="15" max="15" width="19" style="102"/>
    <col min="16" max="16384" width="19" style="14"/>
  </cols>
  <sheetData>
    <row r="1" spans="1:15" ht="25.5" customHeight="1" x14ac:dyDescent="0.25">
      <c r="A1" s="178" t="s">
        <v>393</v>
      </c>
      <c r="B1" s="178"/>
      <c r="C1" s="178"/>
      <c r="D1" s="178"/>
      <c r="E1" s="337" t="s">
        <v>307</v>
      </c>
      <c r="F1" s="337"/>
      <c r="G1" s="337"/>
      <c r="H1" s="337"/>
      <c r="I1" s="337"/>
      <c r="J1" s="337"/>
      <c r="K1" s="337"/>
      <c r="L1" s="337"/>
      <c r="M1" s="337"/>
      <c r="N1" s="336" t="s">
        <v>270</v>
      </c>
      <c r="O1" s="336"/>
    </row>
    <row r="2" spans="1:15" ht="33" customHeight="1" x14ac:dyDescent="0.25">
      <c r="A2" s="178"/>
      <c r="B2" s="178"/>
      <c r="C2" s="178"/>
      <c r="D2" s="178"/>
      <c r="E2" s="338" t="s">
        <v>313</v>
      </c>
      <c r="F2" s="337" t="s">
        <v>342</v>
      </c>
      <c r="G2" s="337"/>
      <c r="H2" s="337"/>
      <c r="I2" s="337"/>
      <c r="J2" s="337"/>
      <c r="K2" s="337"/>
      <c r="L2" s="337"/>
      <c r="M2" s="337"/>
      <c r="N2" s="336"/>
      <c r="O2" s="336"/>
    </row>
    <row r="3" spans="1:15" x14ac:dyDescent="0.25">
      <c r="A3" s="178" t="s">
        <v>86</v>
      </c>
      <c r="B3" s="178" t="s">
        <v>73</v>
      </c>
      <c r="C3" s="178" t="s">
        <v>110</v>
      </c>
      <c r="D3" s="178" t="s">
        <v>98</v>
      </c>
      <c r="E3" s="340"/>
      <c r="F3" s="337" t="s">
        <v>308</v>
      </c>
      <c r="G3" s="338" t="s">
        <v>321</v>
      </c>
      <c r="H3" s="337" t="s">
        <v>309</v>
      </c>
      <c r="I3" s="337" t="s">
        <v>310</v>
      </c>
      <c r="J3" s="338" t="s">
        <v>369</v>
      </c>
      <c r="K3" s="337" t="s">
        <v>304</v>
      </c>
      <c r="L3" s="338" t="s">
        <v>305</v>
      </c>
      <c r="M3" s="337" t="s">
        <v>312</v>
      </c>
      <c r="N3" s="336" t="s">
        <v>108</v>
      </c>
      <c r="O3" s="341" t="s">
        <v>28</v>
      </c>
    </row>
    <row r="4" spans="1:15" x14ac:dyDescent="0.25">
      <c r="A4" s="178"/>
      <c r="B4" s="178"/>
      <c r="C4" s="178"/>
      <c r="D4" s="178"/>
      <c r="E4" s="339"/>
      <c r="F4" s="337"/>
      <c r="G4" s="339"/>
      <c r="H4" s="337"/>
      <c r="I4" s="337"/>
      <c r="J4" s="339"/>
      <c r="K4" s="337"/>
      <c r="L4" s="339"/>
      <c r="M4" s="337"/>
      <c r="N4" s="336"/>
      <c r="O4" s="341"/>
    </row>
    <row r="5" spans="1:15" ht="30" customHeight="1" x14ac:dyDescent="0.25">
      <c r="A5" s="21">
        <v>1</v>
      </c>
      <c r="B5" s="93" t="s">
        <v>338</v>
      </c>
      <c r="C5" s="94" t="s">
        <v>110</v>
      </c>
      <c r="D5" s="94">
        <v>3</v>
      </c>
      <c r="E5" s="95" t="s">
        <v>291</v>
      </c>
      <c r="F5" s="95" t="s">
        <v>291</v>
      </c>
      <c r="G5" s="96">
        <v>10.47</v>
      </c>
      <c r="H5" s="95" t="s">
        <v>291</v>
      </c>
      <c r="I5" s="95" t="s">
        <v>291</v>
      </c>
      <c r="J5" s="95" t="s">
        <v>291</v>
      </c>
      <c r="K5" s="96">
        <v>15.2</v>
      </c>
      <c r="L5" s="96" t="s">
        <v>291</v>
      </c>
      <c r="M5" s="96">
        <v>15.99</v>
      </c>
      <c r="N5" s="103">
        <f>SUM(G5:M5)/3</f>
        <v>13.886666666666668</v>
      </c>
      <c r="O5" s="104">
        <f>N5*D5</f>
        <v>41.660000000000004</v>
      </c>
    </row>
    <row r="6" spans="1:15" ht="34.5" customHeight="1" x14ac:dyDescent="0.25">
      <c r="A6" s="21">
        <v>2</v>
      </c>
      <c r="B6" s="93" t="s">
        <v>320</v>
      </c>
      <c r="C6" s="97" t="s">
        <v>110</v>
      </c>
      <c r="D6" s="97">
        <v>12</v>
      </c>
      <c r="E6" s="95" t="s">
        <v>291</v>
      </c>
      <c r="F6" s="96">
        <v>9.75</v>
      </c>
      <c r="G6" s="96" t="s">
        <v>291</v>
      </c>
      <c r="H6" s="96">
        <v>9.9</v>
      </c>
      <c r="I6" s="96" t="s">
        <v>291</v>
      </c>
      <c r="J6" s="95" t="s">
        <v>291</v>
      </c>
      <c r="K6" s="96" t="s">
        <v>291</v>
      </c>
      <c r="L6" s="96" t="s">
        <v>291</v>
      </c>
      <c r="M6" s="96">
        <v>10.8</v>
      </c>
      <c r="N6" s="105">
        <f>SUM(F6:M6)/3</f>
        <v>10.15</v>
      </c>
      <c r="O6" s="106">
        <f>N6*D6</f>
        <v>121.80000000000001</v>
      </c>
    </row>
    <row r="7" spans="1:15" ht="36" customHeight="1" x14ac:dyDescent="0.25">
      <c r="A7" s="21">
        <v>3</v>
      </c>
      <c r="B7" s="93" t="s">
        <v>339</v>
      </c>
      <c r="C7" s="97" t="s">
        <v>110</v>
      </c>
      <c r="D7" s="98">
        <v>14</v>
      </c>
      <c r="E7" s="96" t="s">
        <v>291</v>
      </c>
      <c r="F7" s="96">
        <v>62.48</v>
      </c>
      <c r="G7" s="96">
        <v>83.9</v>
      </c>
      <c r="H7" s="96" t="s">
        <v>291</v>
      </c>
      <c r="I7" s="96">
        <v>82.49</v>
      </c>
      <c r="J7" s="95" t="s">
        <v>291</v>
      </c>
      <c r="K7" s="96" t="s">
        <v>291</v>
      </c>
      <c r="L7" s="96" t="s">
        <v>291</v>
      </c>
      <c r="M7" s="96">
        <v>63.98</v>
      </c>
      <c r="N7" s="107">
        <f>SUM(E7:M7)/4</f>
        <v>73.212500000000006</v>
      </c>
      <c r="O7" s="106">
        <f>N7*D7</f>
        <v>1024.9750000000001</v>
      </c>
    </row>
    <row r="8" spans="1:15" ht="36" customHeight="1" x14ac:dyDescent="0.25">
      <c r="A8" s="21">
        <v>4</v>
      </c>
      <c r="B8" s="93" t="s">
        <v>99</v>
      </c>
      <c r="C8" s="97" t="s">
        <v>110</v>
      </c>
      <c r="D8" s="97">
        <v>4</v>
      </c>
      <c r="E8" s="96">
        <v>151.96</v>
      </c>
      <c r="F8" s="96">
        <v>186.57</v>
      </c>
      <c r="G8" s="96" t="s">
        <v>291</v>
      </c>
      <c r="H8" s="96">
        <v>139.9</v>
      </c>
      <c r="I8" s="96" t="s">
        <v>291</v>
      </c>
      <c r="J8" s="95" t="s">
        <v>291</v>
      </c>
      <c r="K8" s="96" t="s">
        <v>291</v>
      </c>
      <c r="L8" s="96" t="s">
        <v>291</v>
      </c>
      <c r="M8" s="96" t="s">
        <v>291</v>
      </c>
      <c r="N8" s="105">
        <f>SUM(E8:M8)/3</f>
        <v>159.47666666666666</v>
      </c>
      <c r="O8" s="106">
        <f>SUM(N8*D8)</f>
        <v>637.90666666666664</v>
      </c>
    </row>
    <row r="9" spans="1:15" ht="32.25" customHeight="1" x14ac:dyDescent="0.25">
      <c r="A9" s="21">
        <v>5</v>
      </c>
      <c r="B9" s="99" t="s">
        <v>337</v>
      </c>
      <c r="C9" s="94" t="s">
        <v>322</v>
      </c>
      <c r="D9" s="94">
        <v>1</v>
      </c>
      <c r="E9" s="100" t="s">
        <v>291</v>
      </c>
      <c r="F9" s="96">
        <v>455.4</v>
      </c>
      <c r="G9" s="96" t="s">
        <v>291</v>
      </c>
      <c r="H9" s="96">
        <v>410</v>
      </c>
      <c r="I9" s="96" t="s">
        <v>291</v>
      </c>
      <c r="J9" s="95" t="s">
        <v>291</v>
      </c>
      <c r="K9" s="96" t="s">
        <v>291</v>
      </c>
      <c r="L9" s="96" t="s">
        <v>291</v>
      </c>
      <c r="M9" s="96">
        <v>395</v>
      </c>
      <c r="N9" s="105">
        <f>SUM(E9:M9)/3</f>
        <v>420.13333333333338</v>
      </c>
      <c r="O9" s="106">
        <f t="shared" ref="O9:O10" si="0">SUM(N9*D9)</f>
        <v>420.13333333333338</v>
      </c>
    </row>
    <row r="10" spans="1:15" ht="33" customHeight="1" x14ac:dyDescent="0.25">
      <c r="A10" s="21">
        <v>6</v>
      </c>
      <c r="B10" s="99" t="s">
        <v>340</v>
      </c>
      <c r="C10" s="94" t="s">
        <v>110</v>
      </c>
      <c r="D10" s="94">
        <v>14</v>
      </c>
      <c r="E10" s="100" t="s">
        <v>291</v>
      </c>
      <c r="F10" s="96">
        <v>29.59</v>
      </c>
      <c r="G10" s="96">
        <v>26</v>
      </c>
      <c r="H10" s="96" t="s">
        <v>291</v>
      </c>
      <c r="I10" s="96" t="s">
        <v>291</v>
      </c>
      <c r="J10" s="95" t="s">
        <v>291</v>
      </c>
      <c r="K10" s="96" t="s">
        <v>291</v>
      </c>
      <c r="L10" s="96" t="s">
        <v>291</v>
      </c>
      <c r="M10" s="96">
        <v>28.84</v>
      </c>
      <c r="N10" s="105">
        <f t="shared" ref="N10" si="1">SUM(E10:M10)/3</f>
        <v>28.143333333333334</v>
      </c>
      <c r="O10" s="106">
        <f t="shared" si="0"/>
        <v>394.00666666666666</v>
      </c>
    </row>
    <row r="11" spans="1:15" ht="36.75" customHeight="1" x14ac:dyDescent="0.25">
      <c r="A11" s="21">
        <v>7</v>
      </c>
      <c r="B11" s="93" t="s">
        <v>326</v>
      </c>
      <c r="C11" s="97" t="s">
        <v>110</v>
      </c>
      <c r="D11" s="94">
        <v>36</v>
      </c>
      <c r="E11" s="96" t="s">
        <v>291</v>
      </c>
      <c r="F11" s="96">
        <v>10.65</v>
      </c>
      <c r="G11" s="96" t="s">
        <v>291</v>
      </c>
      <c r="H11" s="96" t="s">
        <v>291</v>
      </c>
      <c r="I11" s="96" t="s">
        <v>291</v>
      </c>
      <c r="J11" s="95" t="s">
        <v>291</v>
      </c>
      <c r="K11" s="96">
        <v>12.66</v>
      </c>
      <c r="L11" s="96" t="s">
        <v>291</v>
      </c>
      <c r="M11" s="96">
        <v>9.69</v>
      </c>
      <c r="N11" s="103">
        <f>SUM(E11:M11)/3</f>
        <v>11</v>
      </c>
      <c r="O11" s="106">
        <f t="shared" ref="O11:O17" si="2">N11*D11</f>
        <v>396</v>
      </c>
    </row>
    <row r="12" spans="1:15" ht="31.5" customHeight="1" x14ac:dyDescent="0.25">
      <c r="A12" s="21">
        <v>8</v>
      </c>
      <c r="B12" s="93" t="s">
        <v>327</v>
      </c>
      <c r="C12" s="97" t="s">
        <v>110</v>
      </c>
      <c r="D12" s="94">
        <v>36</v>
      </c>
      <c r="E12" s="96" t="s">
        <v>291</v>
      </c>
      <c r="F12" s="96">
        <v>7.14</v>
      </c>
      <c r="G12" s="96">
        <v>5.66</v>
      </c>
      <c r="H12" s="96">
        <v>5.41</v>
      </c>
      <c r="I12" s="96" t="s">
        <v>291</v>
      </c>
      <c r="J12" s="95" t="s">
        <v>291</v>
      </c>
      <c r="K12" s="96" t="s">
        <v>291</v>
      </c>
      <c r="L12" s="96" t="s">
        <v>291</v>
      </c>
      <c r="M12" s="96" t="s">
        <v>291</v>
      </c>
      <c r="N12" s="103">
        <f>SUM(E12:M12)/3</f>
        <v>6.07</v>
      </c>
      <c r="O12" s="106">
        <f t="shared" si="2"/>
        <v>218.52</v>
      </c>
    </row>
    <row r="13" spans="1:15" ht="30.75" customHeight="1" x14ac:dyDescent="0.25">
      <c r="A13" s="21">
        <v>9</v>
      </c>
      <c r="B13" s="93" t="s">
        <v>328</v>
      </c>
      <c r="C13" s="97" t="s">
        <v>110</v>
      </c>
      <c r="D13" s="94">
        <v>36</v>
      </c>
      <c r="E13" s="96" t="s">
        <v>291</v>
      </c>
      <c r="F13" s="96">
        <v>3.34</v>
      </c>
      <c r="G13" s="96">
        <v>3.38</v>
      </c>
      <c r="H13" s="96">
        <v>3.2</v>
      </c>
      <c r="I13" s="96" t="s">
        <v>291</v>
      </c>
      <c r="J13" s="95" t="s">
        <v>291</v>
      </c>
      <c r="K13" s="96" t="s">
        <v>291</v>
      </c>
      <c r="L13" s="96" t="s">
        <v>291</v>
      </c>
      <c r="M13" s="96" t="s">
        <v>291</v>
      </c>
      <c r="N13" s="103">
        <f>SUM(E13:M13)/3</f>
        <v>3.3066666666666666</v>
      </c>
      <c r="O13" s="106">
        <f t="shared" si="2"/>
        <v>119.03999999999999</v>
      </c>
    </row>
    <row r="14" spans="1:15" ht="31.5" customHeight="1" x14ac:dyDescent="0.25">
      <c r="A14" s="21">
        <v>10</v>
      </c>
      <c r="B14" s="93" t="s">
        <v>329</v>
      </c>
      <c r="C14" s="97" t="s">
        <v>110</v>
      </c>
      <c r="D14" s="94">
        <v>36</v>
      </c>
      <c r="E14" s="96" t="s">
        <v>291</v>
      </c>
      <c r="F14" s="96">
        <v>3.73</v>
      </c>
      <c r="G14" s="96">
        <v>2.83</v>
      </c>
      <c r="H14" s="96">
        <v>3.49</v>
      </c>
      <c r="I14" s="96" t="s">
        <v>291</v>
      </c>
      <c r="J14" s="95" t="s">
        <v>291</v>
      </c>
      <c r="K14" s="96" t="s">
        <v>291</v>
      </c>
      <c r="L14" s="96" t="s">
        <v>291</v>
      </c>
      <c r="M14" s="96" t="s">
        <v>291</v>
      </c>
      <c r="N14" s="103">
        <f>SUM(E14:M14)/3</f>
        <v>3.35</v>
      </c>
      <c r="O14" s="106">
        <f t="shared" si="2"/>
        <v>120.60000000000001</v>
      </c>
    </row>
    <row r="15" spans="1:15" ht="27" customHeight="1" x14ac:dyDescent="0.25">
      <c r="A15" s="21">
        <v>11</v>
      </c>
      <c r="B15" s="99" t="s">
        <v>330</v>
      </c>
      <c r="C15" s="97" t="s">
        <v>110</v>
      </c>
      <c r="D15" s="94">
        <v>12</v>
      </c>
      <c r="E15" s="96" t="s">
        <v>291</v>
      </c>
      <c r="F15" s="96">
        <v>17.14</v>
      </c>
      <c r="G15" s="96" t="s">
        <v>291</v>
      </c>
      <c r="H15" s="96" t="s">
        <v>291</v>
      </c>
      <c r="I15" s="96" t="s">
        <v>291</v>
      </c>
      <c r="J15" s="95" t="s">
        <v>291</v>
      </c>
      <c r="K15" s="96" t="s">
        <v>291</v>
      </c>
      <c r="L15" s="96">
        <v>14.99</v>
      </c>
      <c r="M15" s="96">
        <v>13.89</v>
      </c>
      <c r="N15" s="103">
        <f>SUM(E15:M15)/3</f>
        <v>15.340000000000002</v>
      </c>
      <c r="O15" s="106">
        <f t="shared" si="2"/>
        <v>184.08</v>
      </c>
    </row>
    <row r="16" spans="1:15" ht="27" customHeight="1" x14ac:dyDescent="0.25">
      <c r="A16" s="21">
        <v>12</v>
      </c>
      <c r="B16" s="93" t="s">
        <v>331</v>
      </c>
      <c r="C16" s="97" t="s">
        <v>110</v>
      </c>
      <c r="D16" s="97">
        <v>24</v>
      </c>
      <c r="E16" s="96" t="s">
        <v>291</v>
      </c>
      <c r="F16" s="96">
        <v>21.9</v>
      </c>
      <c r="G16" s="96" t="s">
        <v>291</v>
      </c>
      <c r="H16" s="96">
        <v>22</v>
      </c>
      <c r="I16" s="96" t="s">
        <v>291</v>
      </c>
      <c r="J16" s="95" t="s">
        <v>291</v>
      </c>
      <c r="K16" s="96" t="s">
        <v>291</v>
      </c>
      <c r="L16" s="96" t="s">
        <v>291</v>
      </c>
      <c r="M16" s="96">
        <v>24.9</v>
      </c>
      <c r="N16" s="105">
        <f>SUM(F16:M16)/3</f>
        <v>22.933333333333334</v>
      </c>
      <c r="O16" s="106">
        <f t="shared" si="2"/>
        <v>550.4</v>
      </c>
    </row>
    <row r="17" spans="1:15" ht="32.25" customHeight="1" x14ac:dyDescent="0.25">
      <c r="A17" s="21">
        <v>13</v>
      </c>
      <c r="B17" s="93" t="s">
        <v>325</v>
      </c>
      <c r="C17" s="97" t="s">
        <v>110</v>
      </c>
      <c r="D17" s="94">
        <v>2</v>
      </c>
      <c r="E17" s="96" t="s">
        <v>291</v>
      </c>
      <c r="F17" s="96" t="s">
        <v>291</v>
      </c>
      <c r="G17" s="96">
        <v>125.3</v>
      </c>
      <c r="H17" s="96" t="s">
        <v>291</v>
      </c>
      <c r="I17" s="96" t="s">
        <v>291</v>
      </c>
      <c r="J17" s="95" t="s">
        <v>291</v>
      </c>
      <c r="K17" s="96">
        <v>119</v>
      </c>
      <c r="L17" s="96" t="s">
        <v>291</v>
      </c>
      <c r="M17" s="96">
        <v>145</v>
      </c>
      <c r="N17" s="105">
        <f>SUM(F17:M17)/3</f>
        <v>129.76666666666668</v>
      </c>
      <c r="O17" s="106">
        <f t="shared" si="2"/>
        <v>259.53333333333336</v>
      </c>
    </row>
    <row r="18" spans="1:15" ht="27.75" customHeight="1" x14ac:dyDescent="0.25">
      <c r="A18" s="21">
        <v>14</v>
      </c>
      <c r="B18" s="99" t="s">
        <v>336</v>
      </c>
      <c r="C18" s="97" t="s">
        <v>110</v>
      </c>
      <c r="D18" s="94">
        <v>2</v>
      </c>
      <c r="E18" s="96" t="s">
        <v>291</v>
      </c>
      <c r="F18" s="96" t="s">
        <v>291</v>
      </c>
      <c r="G18" s="96">
        <v>142.63</v>
      </c>
      <c r="H18" s="96" t="s">
        <v>291</v>
      </c>
      <c r="I18" s="96" t="s">
        <v>291</v>
      </c>
      <c r="J18" s="95" t="s">
        <v>291</v>
      </c>
      <c r="K18" s="96">
        <v>144.33000000000001</v>
      </c>
      <c r="L18" s="96">
        <v>133.32</v>
      </c>
      <c r="M18" s="96">
        <v>145</v>
      </c>
      <c r="N18" s="105">
        <f t="shared" ref="N18:N21" si="3">SUM(F18:M18)/3</f>
        <v>188.42666666666665</v>
      </c>
      <c r="O18" s="106">
        <f t="shared" ref="O18:O21" si="4">N18*D18</f>
        <v>376.8533333333333</v>
      </c>
    </row>
    <row r="19" spans="1:15" ht="29.25" customHeight="1" x14ac:dyDescent="0.25">
      <c r="A19" s="21">
        <v>15</v>
      </c>
      <c r="B19" s="93" t="s">
        <v>395</v>
      </c>
      <c r="C19" s="97" t="s">
        <v>110</v>
      </c>
      <c r="D19" s="94">
        <v>4</v>
      </c>
      <c r="E19" s="96" t="s">
        <v>291</v>
      </c>
      <c r="F19" s="96">
        <v>37.36</v>
      </c>
      <c r="G19" s="96">
        <v>22.11</v>
      </c>
      <c r="H19" s="96" t="s">
        <v>291</v>
      </c>
      <c r="I19" s="96" t="s">
        <v>291</v>
      </c>
      <c r="J19" s="96">
        <v>21.56</v>
      </c>
      <c r="K19" s="96" t="s">
        <v>291</v>
      </c>
      <c r="L19" s="96" t="s">
        <v>291</v>
      </c>
      <c r="M19" s="96" t="s">
        <v>291</v>
      </c>
      <c r="N19" s="105">
        <f t="shared" ref="N19" si="5">SUM(F19:M19)/3</f>
        <v>27.01</v>
      </c>
      <c r="O19" s="106">
        <f t="shared" ref="O19" si="6">N19*D19</f>
        <v>108.04</v>
      </c>
    </row>
    <row r="20" spans="1:15" ht="31.5" x14ac:dyDescent="0.25">
      <c r="A20" s="21">
        <v>16</v>
      </c>
      <c r="B20" s="93" t="s">
        <v>334</v>
      </c>
      <c r="C20" s="97" t="s">
        <v>110</v>
      </c>
      <c r="D20" s="94">
        <v>6</v>
      </c>
      <c r="E20" s="96" t="s">
        <v>291</v>
      </c>
      <c r="F20" s="96" t="s">
        <v>291</v>
      </c>
      <c r="G20" s="96" t="s">
        <v>291</v>
      </c>
      <c r="H20" s="96">
        <v>9</v>
      </c>
      <c r="I20" s="96" t="s">
        <v>291</v>
      </c>
      <c r="J20" s="96" t="s">
        <v>291</v>
      </c>
      <c r="K20" s="96">
        <v>8.0299999999999994</v>
      </c>
      <c r="L20" s="96" t="s">
        <v>291</v>
      </c>
      <c r="M20" s="96">
        <v>8.99</v>
      </c>
      <c r="N20" s="105">
        <f t="shared" si="3"/>
        <v>8.6733333333333338</v>
      </c>
      <c r="O20" s="106">
        <f t="shared" si="4"/>
        <v>52.040000000000006</v>
      </c>
    </row>
    <row r="21" spans="1:15" ht="31.5" x14ac:dyDescent="0.25">
      <c r="A21" s="21">
        <v>17</v>
      </c>
      <c r="B21" s="93" t="s">
        <v>335</v>
      </c>
      <c r="C21" s="97" t="s">
        <v>110</v>
      </c>
      <c r="D21" s="94">
        <v>6</v>
      </c>
      <c r="E21" s="96" t="s">
        <v>291</v>
      </c>
      <c r="F21" s="96">
        <v>9.39</v>
      </c>
      <c r="G21" s="96">
        <v>6.47</v>
      </c>
      <c r="H21" s="96">
        <v>9.6</v>
      </c>
      <c r="I21" s="96" t="s">
        <v>291</v>
      </c>
      <c r="J21" s="96" t="s">
        <v>291</v>
      </c>
      <c r="K21" s="96" t="s">
        <v>291</v>
      </c>
      <c r="L21" s="96" t="s">
        <v>291</v>
      </c>
      <c r="M21" s="96" t="s">
        <v>291</v>
      </c>
      <c r="N21" s="105">
        <f t="shared" si="3"/>
        <v>8.4866666666666664</v>
      </c>
      <c r="O21" s="106">
        <f t="shared" si="4"/>
        <v>50.92</v>
      </c>
    </row>
    <row r="22" spans="1:15" ht="31.5" x14ac:dyDescent="0.25">
      <c r="A22" s="21">
        <v>18</v>
      </c>
      <c r="B22" s="93" t="s">
        <v>324</v>
      </c>
      <c r="C22" s="97" t="s">
        <v>110</v>
      </c>
      <c r="D22" s="94">
        <v>13</v>
      </c>
      <c r="E22" s="96" t="s">
        <v>291</v>
      </c>
      <c r="F22" s="96" t="s">
        <v>291</v>
      </c>
      <c r="G22" s="96">
        <v>13.92</v>
      </c>
      <c r="H22" s="96">
        <v>15</v>
      </c>
      <c r="I22" s="96" t="s">
        <v>291</v>
      </c>
      <c r="J22" s="96" t="s">
        <v>291</v>
      </c>
      <c r="K22" s="96" t="s">
        <v>291</v>
      </c>
      <c r="L22" s="96" t="s">
        <v>291</v>
      </c>
      <c r="M22" s="96">
        <v>21.99</v>
      </c>
      <c r="N22" s="103">
        <f>SUM(G22:M22)/3</f>
        <v>16.97</v>
      </c>
      <c r="O22" s="104">
        <f>N22*D22</f>
        <v>220.60999999999999</v>
      </c>
    </row>
    <row r="23" spans="1:15" ht="31.5" x14ac:dyDescent="0.25">
      <c r="A23" s="21">
        <v>19</v>
      </c>
      <c r="B23" s="93" t="s">
        <v>323</v>
      </c>
      <c r="C23" s="97" t="s">
        <v>110</v>
      </c>
      <c r="D23" s="94">
        <v>13</v>
      </c>
      <c r="E23" s="96" t="s">
        <v>291</v>
      </c>
      <c r="F23" s="96" t="s">
        <v>291</v>
      </c>
      <c r="G23" s="96">
        <v>13.92</v>
      </c>
      <c r="H23" s="96">
        <v>15</v>
      </c>
      <c r="I23" s="96" t="s">
        <v>291</v>
      </c>
      <c r="J23" s="96" t="s">
        <v>291</v>
      </c>
      <c r="K23" s="96" t="s">
        <v>291</v>
      </c>
      <c r="L23" s="96" t="s">
        <v>291</v>
      </c>
      <c r="M23" s="96">
        <v>21.99</v>
      </c>
      <c r="N23" s="103">
        <f>SUM(E23:M23)/3</f>
        <v>16.97</v>
      </c>
      <c r="O23" s="104">
        <f>N23*D23</f>
        <v>220.60999999999999</v>
      </c>
    </row>
    <row r="24" spans="1:15" ht="24.75" customHeight="1" x14ac:dyDescent="0.25">
      <c r="A24" s="21">
        <v>20</v>
      </c>
      <c r="B24" s="93" t="s">
        <v>341</v>
      </c>
      <c r="C24" s="97" t="s">
        <v>110</v>
      </c>
      <c r="D24" s="94">
        <v>100</v>
      </c>
      <c r="E24" s="96">
        <v>2.0499999999999998</v>
      </c>
      <c r="F24" s="96" t="s">
        <v>291</v>
      </c>
      <c r="G24" s="96">
        <v>1.93</v>
      </c>
      <c r="H24" s="96" t="s">
        <v>291</v>
      </c>
      <c r="I24" s="96" t="s">
        <v>291</v>
      </c>
      <c r="J24" s="96" t="s">
        <v>291</v>
      </c>
      <c r="K24" s="96" t="s">
        <v>291</v>
      </c>
      <c r="L24" s="96" t="s">
        <v>291</v>
      </c>
      <c r="M24" s="96">
        <v>1.0900000000000001</v>
      </c>
      <c r="N24" s="103">
        <f t="shared" ref="N24:N27" si="7">SUM(E24:M24)/3</f>
        <v>1.6899999999999997</v>
      </c>
      <c r="O24" s="104">
        <f t="shared" ref="O24:O28" si="8">N24*D24</f>
        <v>168.99999999999997</v>
      </c>
    </row>
    <row r="25" spans="1:15" ht="30.75" customHeight="1" x14ac:dyDescent="0.25">
      <c r="A25" s="21">
        <v>21</v>
      </c>
      <c r="B25" s="93" t="s">
        <v>311</v>
      </c>
      <c r="C25" s="97" t="s">
        <v>110</v>
      </c>
      <c r="D25" s="97">
        <v>26</v>
      </c>
      <c r="E25" s="96" t="s">
        <v>291</v>
      </c>
      <c r="F25" s="96">
        <v>23.67</v>
      </c>
      <c r="G25" s="96" t="s">
        <v>291</v>
      </c>
      <c r="H25" s="96">
        <v>21</v>
      </c>
      <c r="I25" s="96" t="s">
        <v>291</v>
      </c>
      <c r="J25" s="96" t="s">
        <v>291</v>
      </c>
      <c r="K25" s="96">
        <v>19.89</v>
      </c>
      <c r="L25" s="96" t="s">
        <v>291</v>
      </c>
      <c r="M25" s="96" t="s">
        <v>291</v>
      </c>
      <c r="N25" s="103">
        <f t="shared" si="7"/>
        <v>21.52</v>
      </c>
      <c r="O25" s="104">
        <f t="shared" si="8"/>
        <v>559.52</v>
      </c>
    </row>
    <row r="26" spans="1:15" ht="28.5" customHeight="1" x14ac:dyDescent="0.25">
      <c r="A26" s="21">
        <v>22</v>
      </c>
      <c r="B26" s="93" t="s">
        <v>333</v>
      </c>
      <c r="C26" s="97" t="s">
        <v>110</v>
      </c>
      <c r="D26" s="94">
        <v>12</v>
      </c>
      <c r="E26" s="96" t="s">
        <v>291</v>
      </c>
      <c r="F26" s="96">
        <v>17.89</v>
      </c>
      <c r="G26" s="96" t="s">
        <v>291</v>
      </c>
      <c r="H26" s="96">
        <v>15.9</v>
      </c>
      <c r="I26" s="96" t="s">
        <v>291</v>
      </c>
      <c r="J26" s="96" t="s">
        <v>291</v>
      </c>
      <c r="K26" s="96">
        <v>13.89</v>
      </c>
      <c r="L26" s="96" t="s">
        <v>291</v>
      </c>
      <c r="M26" s="96" t="s">
        <v>291</v>
      </c>
      <c r="N26" s="103">
        <f t="shared" si="7"/>
        <v>15.893333333333333</v>
      </c>
      <c r="O26" s="104">
        <f t="shared" si="8"/>
        <v>190.72</v>
      </c>
    </row>
    <row r="27" spans="1:15" ht="34.5" customHeight="1" x14ac:dyDescent="0.25">
      <c r="A27" s="21">
        <v>23</v>
      </c>
      <c r="B27" s="93" t="s">
        <v>332</v>
      </c>
      <c r="C27" s="97" t="s">
        <v>110</v>
      </c>
      <c r="D27" s="94">
        <v>4</v>
      </c>
      <c r="E27" s="96" t="s">
        <v>291</v>
      </c>
      <c r="F27" s="96" t="s">
        <v>291</v>
      </c>
      <c r="G27" s="96">
        <v>221.3</v>
      </c>
      <c r="H27" s="96" t="s">
        <v>291</v>
      </c>
      <c r="I27" s="96" t="s">
        <v>291</v>
      </c>
      <c r="J27" s="96" t="s">
        <v>291</v>
      </c>
      <c r="K27" s="96">
        <v>237.67</v>
      </c>
      <c r="L27" s="96" t="s">
        <v>291</v>
      </c>
      <c r="M27" s="96">
        <v>219.8</v>
      </c>
      <c r="N27" s="103">
        <f t="shared" si="7"/>
        <v>226.25666666666666</v>
      </c>
      <c r="O27" s="104">
        <f t="shared" si="8"/>
        <v>905.02666666666664</v>
      </c>
    </row>
    <row r="28" spans="1:15" ht="34.5" customHeight="1" x14ac:dyDescent="0.25">
      <c r="A28" s="21">
        <v>24</v>
      </c>
      <c r="B28" s="93" t="s">
        <v>394</v>
      </c>
      <c r="C28" s="97" t="s">
        <v>110</v>
      </c>
      <c r="D28" s="94">
        <v>4</v>
      </c>
      <c r="E28" s="96" t="s">
        <v>291</v>
      </c>
      <c r="F28" s="96" t="s">
        <v>291</v>
      </c>
      <c r="G28" s="96">
        <v>143.63999999999999</v>
      </c>
      <c r="H28" s="96" t="s">
        <v>291</v>
      </c>
      <c r="I28" s="96" t="s">
        <v>291</v>
      </c>
      <c r="J28" s="96" t="s">
        <v>291</v>
      </c>
      <c r="K28" s="96">
        <v>156.56</v>
      </c>
      <c r="L28" s="96" t="s">
        <v>291</v>
      </c>
      <c r="M28" s="96">
        <v>149.6</v>
      </c>
      <c r="N28" s="103">
        <f>SUM(E28:M28)/3</f>
        <v>149.93333333333331</v>
      </c>
      <c r="O28" s="104">
        <f t="shared" si="8"/>
        <v>599.73333333333323</v>
      </c>
    </row>
    <row r="29" spans="1:15" ht="24.75" customHeight="1" x14ac:dyDescent="0.25">
      <c r="A29" s="342" t="s">
        <v>100</v>
      </c>
      <c r="B29" s="342"/>
      <c r="C29" s="342"/>
      <c r="D29" s="342"/>
      <c r="E29" s="342"/>
      <c r="F29" s="342"/>
      <c r="G29" s="342"/>
      <c r="H29" s="342"/>
      <c r="I29" s="342"/>
      <c r="J29" s="342"/>
      <c r="K29" s="342"/>
      <c r="L29" s="342"/>
      <c r="M29" s="342"/>
      <c r="N29" s="342"/>
      <c r="O29" s="136">
        <f>SUM(O5:O28)</f>
        <v>7941.7283333333335</v>
      </c>
    </row>
    <row r="30" spans="1:15" ht="24.75" customHeight="1" x14ac:dyDescent="0.25">
      <c r="A30" s="342" t="s">
        <v>101</v>
      </c>
      <c r="B30" s="342"/>
      <c r="C30" s="342"/>
      <c r="D30" s="342"/>
      <c r="E30" s="342"/>
      <c r="F30" s="342"/>
      <c r="G30" s="342"/>
      <c r="H30" s="342"/>
      <c r="I30" s="342"/>
      <c r="J30" s="342"/>
      <c r="K30" s="342"/>
      <c r="L30" s="342"/>
      <c r="M30" s="342"/>
      <c r="N30" s="342"/>
      <c r="O30" s="136">
        <f>O29/12</f>
        <v>661.81069444444449</v>
      </c>
    </row>
    <row r="31" spans="1:15" ht="20.25" customHeight="1" x14ac:dyDescent="0.25">
      <c r="A31" s="342" t="s">
        <v>276</v>
      </c>
      <c r="B31" s="342"/>
      <c r="C31" s="342"/>
      <c r="D31" s="342"/>
      <c r="E31" s="342"/>
      <c r="F31" s="342"/>
      <c r="G31" s="342"/>
      <c r="H31" s="342"/>
      <c r="I31" s="342"/>
      <c r="J31" s="342"/>
      <c r="K31" s="342"/>
      <c r="L31" s="342"/>
      <c r="M31" s="342"/>
      <c r="N31" s="342"/>
      <c r="O31" s="136">
        <f>O30/14</f>
        <v>47.272192460317463</v>
      </c>
    </row>
  </sheetData>
  <mergeCells count="22">
    <mergeCell ref="A29:N29"/>
    <mergeCell ref="A30:N30"/>
    <mergeCell ref="A31:N31"/>
    <mergeCell ref="F3:F4"/>
    <mergeCell ref="H3:H4"/>
    <mergeCell ref="I3:I4"/>
    <mergeCell ref="K3:K4"/>
    <mergeCell ref="A3:A4"/>
    <mergeCell ref="B3:B4"/>
    <mergeCell ref="C3:C4"/>
    <mergeCell ref="D3:D4"/>
    <mergeCell ref="N3:N4"/>
    <mergeCell ref="A1:D2"/>
    <mergeCell ref="N1:O2"/>
    <mergeCell ref="F2:M2"/>
    <mergeCell ref="E1:M1"/>
    <mergeCell ref="M3:M4"/>
    <mergeCell ref="G3:G4"/>
    <mergeCell ref="L3:L4"/>
    <mergeCell ref="E2:E4"/>
    <mergeCell ref="J3:J4"/>
    <mergeCell ref="O3:O4"/>
  </mergeCells>
  <pageMargins left="0.51181102362204722" right="0.51181102362204722" top="1.3779527559055118" bottom="0.78740157480314965" header="0.31496062992125984" footer="0.31496062992125984"/>
  <pageSetup paperSize="9" scale="45" orientation="portrait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AO124"/>
  <sheetViews>
    <sheetView topLeftCell="O86" zoomScale="70" zoomScaleNormal="70" zoomScaleSheetLayoutView="130" workbookViewId="0">
      <selection activeCell="A121" sqref="A121:AM121"/>
    </sheetView>
  </sheetViews>
  <sheetFormatPr defaultColWidth="15.1640625" defaultRowHeight="15.75" x14ac:dyDescent="0.2"/>
  <cols>
    <col min="1" max="1" width="8.5" style="141" customWidth="1"/>
    <col min="2" max="2" width="111.1640625" style="27" customWidth="1"/>
    <col min="3" max="3" width="11.6640625" style="31" customWidth="1"/>
    <col min="4" max="4" width="7.33203125" style="141" customWidth="1"/>
    <col min="5" max="5" width="13.1640625" style="141" bestFit="1" customWidth="1"/>
    <col min="6" max="6" width="26.83203125" style="141" bestFit="1" customWidth="1"/>
    <col min="7" max="8" width="24.5" style="141" customWidth="1"/>
    <col min="9" max="10" width="25.6640625" style="141" customWidth="1"/>
    <col min="11" max="13" width="24.5" style="141" customWidth="1"/>
    <col min="14" max="14" width="14.5" style="141" bestFit="1" customWidth="1"/>
    <col min="15" max="15" width="14.6640625" style="141" bestFit="1" customWidth="1"/>
    <col min="16" max="16" width="14.1640625" style="141" bestFit="1" customWidth="1"/>
    <col min="17" max="17" width="16.83203125" style="141" bestFit="1" customWidth="1"/>
    <col min="18" max="18" width="18.33203125" style="141" bestFit="1" customWidth="1"/>
    <col min="19" max="19" width="14.5" style="141" bestFit="1" customWidth="1"/>
    <col min="20" max="20" width="18.33203125" style="141" bestFit="1" customWidth="1"/>
    <col min="21" max="23" width="16.83203125" style="141" bestFit="1" customWidth="1"/>
    <col min="24" max="24" width="16.6640625" style="141" bestFit="1" customWidth="1"/>
    <col min="25" max="25" width="17.33203125" style="141" bestFit="1" customWidth="1"/>
    <col min="26" max="26" width="14.1640625" style="141" bestFit="1" customWidth="1"/>
    <col min="27" max="27" width="17.6640625" style="141" bestFit="1" customWidth="1"/>
    <col min="28" max="28" width="12.83203125" style="141" bestFit="1" customWidth="1"/>
    <col min="29" max="29" width="14.6640625" style="141" customWidth="1"/>
    <col min="30" max="30" width="17" style="141" customWidth="1"/>
    <col min="31" max="31" width="16.33203125" style="141" bestFit="1" customWidth="1"/>
    <col min="32" max="32" width="14.5" style="141" bestFit="1" customWidth="1"/>
    <col min="33" max="33" width="17.6640625" style="141" bestFit="1" customWidth="1"/>
    <col min="34" max="34" width="17" style="141" bestFit="1" customWidth="1"/>
    <col min="35" max="35" width="13.83203125" style="141" bestFit="1" customWidth="1"/>
    <col min="36" max="36" width="11.33203125" style="141" bestFit="1" customWidth="1"/>
    <col min="37" max="38" width="14.1640625" style="141" bestFit="1" customWidth="1"/>
    <col min="39" max="39" width="23.1640625" style="153" customWidth="1"/>
    <col min="40" max="40" width="26" style="159" customWidth="1"/>
    <col min="41" max="41" width="7" style="137" customWidth="1"/>
    <col min="42" max="16384" width="15.1640625" style="31"/>
  </cols>
  <sheetData>
    <row r="1" spans="1:40" ht="24.75" customHeight="1" x14ac:dyDescent="0.2">
      <c r="A1" s="361" t="s">
        <v>188</v>
      </c>
      <c r="B1" s="361"/>
      <c r="C1" s="363" t="s">
        <v>110</v>
      </c>
      <c r="D1" s="363" t="s">
        <v>111</v>
      </c>
      <c r="E1" s="343" t="s">
        <v>285</v>
      </c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4"/>
      <c r="AL1" s="345"/>
      <c r="AM1" s="362" t="s">
        <v>270</v>
      </c>
      <c r="AN1" s="362"/>
    </row>
    <row r="2" spans="1:40" ht="26.25" customHeight="1" x14ac:dyDescent="0.2">
      <c r="A2" s="363" t="s">
        <v>109</v>
      </c>
      <c r="B2" s="363" t="s">
        <v>319</v>
      </c>
      <c r="C2" s="365"/>
      <c r="D2" s="365"/>
      <c r="E2" s="142"/>
      <c r="F2" s="369" t="s">
        <v>526</v>
      </c>
      <c r="G2" s="369"/>
      <c r="H2" s="369"/>
      <c r="I2" s="343" t="s">
        <v>541</v>
      </c>
      <c r="J2" s="345"/>
      <c r="K2" s="343" t="s">
        <v>342</v>
      </c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4"/>
      <c r="AF2" s="344"/>
      <c r="AG2" s="344"/>
      <c r="AH2" s="344"/>
      <c r="AI2" s="344"/>
      <c r="AJ2" s="344"/>
      <c r="AK2" s="344"/>
      <c r="AL2" s="345"/>
      <c r="AM2" s="362"/>
      <c r="AN2" s="362"/>
    </row>
    <row r="3" spans="1:40" ht="47.25" x14ac:dyDescent="0.2">
      <c r="A3" s="364"/>
      <c r="B3" s="364"/>
      <c r="C3" s="364"/>
      <c r="D3" s="364"/>
      <c r="E3" s="143" t="s">
        <v>284</v>
      </c>
      <c r="F3" s="143" t="s">
        <v>523</v>
      </c>
      <c r="G3" s="143" t="s">
        <v>524</v>
      </c>
      <c r="H3" s="143" t="s">
        <v>525</v>
      </c>
      <c r="I3" s="143" t="s">
        <v>540</v>
      </c>
      <c r="J3" s="143" t="s">
        <v>543</v>
      </c>
      <c r="K3" s="143" t="s">
        <v>531</v>
      </c>
      <c r="L3" s="143" t="s">
        <v>532</v>
      </c>
      <c r="M3" s="143" t="s">
        <v>533</v>
      </c>
      <c r="N3" s="144" t="s">
        <v>293</v>
      </c>
      <c r="O3" s="144" t="s">
        <v>511</v>
      </c>
      <c r="P3" s="144" t="s">
        <v>512</v>
      </c>
      <c r="Q3" s="144" t="s">
        <v>292</v>
      </c>
      <c r="R3" s="144" t="s">
        <v>498</v>
      </c>
      <c r="S3" s="144" t="s">
        <v>404</v>
      </c>
      <c r="T3" s="144" t="s">
        <v>405</v>
      </c>
      <c r="U3" s="144" t="s">
        <v>302</v>
      </c>
      <c r="V3" s="144" t="s">
        <v>301</v>
      </c>
      <c r="W3" s="144" t="s">
        <v>300</v>
      </c>
      <c r="X3" s="144" t="s">
        <v>294</v>
      </c>
      <c r="Y3" s="144" t="s">
        <v>403</v>
      </c>
      <c r="Z3" s="144" t="s">
        <v>401</v>
      </c>
      <c r="AA3" s="144" t="s">
        <v>369</v>
      </c>
      <c r="AB3" s="144" t="s">
        <v>411</v>
      </c>
      <c r="AC3" s="144" t="s">
        <v>304</v>
      </c>
      <c r="AD3" s="144" t="s">
        <v>305</v>
      </c>
      <c r="AE3" s="144" t="s">
        <v>514</v>
      </c>
      <c r="AF3" s="144" t="s">
        <v>497</v>
      </c>
      <c r="AG3" s="144" t="s">
        <v>493</v>
      </c>
      <c r="AH3" s="144" t="s">
        <v>515</v>
      </c>
      <c r="AI3" s="144" t="s">
        <v>518</v>
      </c>
      <c r="AJ3" s="144" t="s">
        <v>496</v>
      </c>
      <c r="AK3" s="144" t="s">
        <v>522</v>
      </c>
      <c r="AL3" s="144" t="s">
        <v>391</v>
      </c>
      <c r="AM3" s="145" t="s">
        <v>499</v>
      </c>
      <c r="AN3" s="154" t="s">
        <v>187</v>
      </c>
    </row>
    <row r="4" spans="1:40" x14ac:dyDescent="0.2">
      <c r="A4" s="26">
        <v>1</v>
      </c>
      <c r="B4" s="24" t="s">
        <v>406</v>
      </c>
      <c r="C4" s="33" t="s">
        <v>112</v>
      </c>
      <c r="D4" s="26">
        <v>72</v>
      </c>
      <c r="E4" s="138" t="s">
        <v>291</v>
      </c>
      <c r="F4" s="138" t="s">
        <v>291</v>
      </c>
      <c r="G4" s="138" t="s">
        <v>291</v>
      </c>
      <c r="H4" s="138" t="s">
        <v>291</v>
      </c>
      <c r="I4" s="138" t="s">
        <v>291</v>
      </c>
      <c r="J4" s="138" t="s">
        <v>291</v>
      </c>
      <c r="K4" s="138" t="s">
        <v>291</v>
      </c>
      <c r="L4" s="138" t="s">
        <v>291</v>
      </c>
      <c r="M4" s="138" t="s">
        <v>291</v>
      </c>
      <c r="N4" s="138">
        <v>810.96</v>
      </c>
      <c r="O4" s="138" t="s">
        <v>291</v>
      </c>
      <c r="P4" s="138" t="s">
        <v>291</v>
      </c>
      <c r="Q4" s="138" t="s">
        <v>291</v>
      </c>
      <c r="R4" s="138" t="s">
        <v>291</v>
      </c>
      <c r="S4" s="138" t="s">
        <v>291</v>
      </c>
      <c r="T4" s="138" t="s">
        <v>291</v>
      </c>
      <c r="U4" s="138" t="s">
        <v>291</v>
      </c>
      <c r="V4" s="138">
        <v>694.08</v>
      </c>
      <c r="W4" s="138">
        <v>843.5</v>
      </c>
      <c r="X4" s="138">
        <v>709</v>
      </c>
      <c r="Y4" s="138" t="s">
        <v>291</v>
      </c>
      <c r="Z4" s="138" t="s">
        <v>291</v>
      </c>
      <c r="AA4" s="138" t="s">
        <v>291</v>
      </c>
      <c r="AB4" s="138" t="s">
        <v>291</v>
      </c>
      <c r="AC4" s="138" t="s">
        <v>291</v>
      </c>
      <c r="AD4" s="138" t="s">
        <v>291</v>
      </c>
      <c r="AE4" s="138" t="s">
        <v>291</v>
      </c>
      <c r="AF4" s="138" t="s">
        <v>291</v>
      </c>
      <c r="AG4" s="138" t="s">
        <v>291</v>
      </c>
      <c r="AH4" s="138" t="s">
        <v>291</v>
      </c>
      <c r="AI4" s="138" t="s">
        <v>291</v>
      </c>
      <c r="AJ4" s="138" t="s">
        <v>291</v>
      </c>
      <c r="AK4" s="138" t="s">
        <v>291</v>
      </c>
      <c r="AL4" s="138" t="s">
        <v>291</v>
      </c>
      <c r="AM4" s="146">
        <f>SUM(E4:AD4)/4</f>
        <v>764.38499999999999</v>
      </c>
      <c r="AN4" s="155">
        <f t="shared" ref="AN4:AN10" si="0">AM4*D4</f>
        <v>55035.72</v>
      </c>
    </row>
    <row r="5" spans="1:40" x14ac:dyDescent="0.2">
      <c r="A5" s="26">
        <v>2</v>
      </c>
      <c r="B5" s="24" t="s">
        <v>113</v>
      </c>
      <c r="C5" s="33" t="s">
        <v>112</v>
      </c>
      <c r="D5" s="139">
        <v>3</v>
      </c>
      <c r="E5" s="138" t="s">
        <v>291</v>
      </c>
      <c r="F5" s="138" t="s">
        <v>291</v>
      </c>
      <c r="G5" s="138" t="s">
        <v>291</v>
      </c>
      <c r="H5" s="138" t="s">
        <v>291</v>
      </c>
      <c r="I5" s="138" t="s">
        <v>291</v>
      </c>
      <c r="J5" s="138" t="s">
        <v>291</v>
      </c>
      <c r="K5" s="138" t="s">
        <v>291</v>
      </c>
      <c r="L5" s="138" t="s">
        <v>291</v>
      </c>
      <c r="M5" s="138" t="s">
        <v>291</v>
      </c>
      <c r="N5" s="138" t="s">
        <v>291</v>
      </c>
      <c r="O5" s="138" t="s">
        <v>291</v>
      </c>
      <c r="P5" s="138" t="s">
        <v>291</v>
      </c>
      <c r="Q5" s="138" t="s">
        <v>291</v>
      </c>
      <c r="R5" s="138" t="s">
        <v>291</v>
      </c>
      <c r="S5" s="138">
        <v>470.25</v>
      </c>
      <c r="T5" s="138">
        <v>469</v>
      </c>
      <c r="U5" s="138" t="s">
        <v>291</v>
      </c>
      <c r="V5" s="138">
        <v>481.3</v>
      </c>
      <c r="W5" s="138" t="s">
        <v>291</v>
      </c>
      <c r="X5" s="138" t="s">
        <v>291</v>
      </c>
      <c r="Y5" s="138" t="s">
        <v>291</v>
      </c>
      <c r="Z5" s="138" t="s">
        <v>291</v>
      </c>
      <c r="AA5" s="138" t="s">
        <v>291</v>
      </c>
      <c r="AB5" s="138" t="s">
        <v>291</v>
      </c>
      <c r="AC5" s="138" t="s">
        <v>291</v>
      </c>
      <c r="AD5" s="138" t="s">
        <v>291</v>
      </c>
      <c r="AE5" s="138" t="s">
        <v>291</v>
      </c>
      <c r="AF5" s="138" t="s">
        <v>291</v>
      </c>
      <c r="AG5" s="138" t="s">
        <v>291</v>
      </c>
      <c r="AH5" s="138" t="s">
        <v>291</v>
      </c>
      <c r="AI5" s="138" t="s">
        <v>291</v>
      </c>
      <c r="AJ5" s="138" t="s">
        <v>291</v>
      </c>
      <c r="AK5" s="138" t="s">
        <v>291</v>
      </c>
      <c r="AL5" s="138" t="s">
        <v>291</v>
      </c>
      <c r="AM5" s="147">
        <f>SUM(E5:AD5)/3</f>
        <v>473.51666666666665</v>
      </c>
      <c r="AN5" s="156">
        <f t="shared" si="0"/>
        <v>1420.55</v>
      </c>
    </row>
    <row r="6" spans="1:40" x14ac:dyDescent="0.2">
      <c r="A6" s="26">
        <v>3</v>
      </c>
      <c r="B6" s="24" t="s">
        <v>521</v>
      </c>
      <c r="C6" s="33" t="s">
        <v>112</v>
      </c>
      <c r="D6" s="139">
        <v>6</v>
      </c>
      <c r="E6" s="138" t="s">
        <v>291</v>
      </c>
      <c r="F6" s="138" t="s">
        <v>291</v>
      </c>
      <c r="G6" s="138" t="s">
        <v>291</v>
      </c>
      <c r="H6" s="138" t="s">
        <v>291</v>
      </c>
      <c r="I6" s="138" t="s">
        <v>291</v>
      </c>
      <c r="J6" s="138" t="s">
        <v>291</v>
      </c>
      <c r="K6" s="138" t="s">
        <v>291</v>
      </c>
      <c r="L6" s="138" t="s">
        <v>291</v>
      </c>
      <c r="M6" s="138" t="s">
        <v>291</v>
      </c>
      <c r="N6" s="138" t="s">
        <v>291</v>
      </c>
      <c r="O6" s="138" t="s">
        <v>291</v>
      </c>
      <c r="P6" s="138" t="s">
        <v>291</v>
      </c>
      <c r="Q6" s="138" t="s">
        <v>291</v>
      </c>
      <c r="R6" s="138" t="s">
        <v>291</v>
      </c>
      <c r="S6" s="138" t="s">
        <v>291</v>
      </c>
      <c r="T6" s="138" t="s">
        <v>291</v>
      </c>
      <c r="U6" s="138" t="s">
        <v>291</v>
      </c>
      <c r="V6" s="138" t="s">
        <v>291</v>
      </c>
      <c r="W6" s="138" t="s">
        <v>291</v>
      </c>
      <c r="X6" s="138" t="s">
        <v>291</v>
      </c>
      <c r="Y6" s="138" t="s">
        <v>291</v>
      </c>
      <c r="Z6" s="138" t="s">
        <v>291</v>
      </c>
      <c r="AA6" s="138" t="s">
        <v>291</v>
      </c>
      <c r="AB6" s="138" t="s">
        <v>291</v>
      </c>
      <c r="AC6" s="138" t="s">
        <v>291</v>
      </c>
      <c r="AD6" s="138" t="s">
        <v>291</v>
      </c>
      <c r="AE6" s="138" t="s">
        <v>291</v>
      </c>
      <c r="AF6" s="138" t="s">
        <v>291</v>
      </c>
      <c r="AG6" s="138" t="s">
        <v>291</v>
      </c>
      <c r="AH6" s="138" t="s">
        <v>291</v>
      </c>
      <c r="AI6" s="138" t="s">
        <v>291</v>
      </c>
      <c r="AJ6" s="138" t="s">
        <v>291</v>
      </c>
      <c r="AK6" s="138">
        <v>299.89999999999998</v>
      </c>
      <c r="AL6" s="138">
        <v>336.25</v>
      </c>
      <c r="AM6" s="147">
        <f>SUM(E6:AL6)/2</f>
        <v>318.07499999999999</v>
      </c>
      <c r="AN6" s="156">
        <f t="shared" si="0"/>
        <v>1908.4499999999998</v>
      </c>
    </row>
    <row r="7" spans="1:40" x14ac:dyDescent="0.2">
      <c r="A7" s="26">
        <v>4</v>
      </c>
      <c r="B7" s="24" t="s">
        <v>114</v>
      </c>
      <c r="C7" s="33" t="s">
        <v>112</v>
      </c>
      <c r="D7" s="139">
        <v>10</v>
      </c>
      <c r="E7" s="138" t="s">
        <v>291</v>
      </c>
      <c r="F7" s="138" t="s">
        <v>291</v>
      </c>
      <c r="G7" s="138" t="s">
        <v>291</v>
      </c>
      <c r="H7" s="138" t="s">
        <v>291</v>
      </c>
      <c r="I7" s="138" t="s">
        <v>291</v>
      </c>
      <c r="J7" s="138" t="s">
        <v>291</v>
      </c>
      <c r="K7" s="138" t="s">
        <v>291</v>
      </c>
      <c r="L7" s="138" t="s">
        <v>291</v>
      </c>
      <c r="M7" s="138" t="s">
        <v>291</v>
      </c>
      <c r="N7" s="138" t="s">
        <v>291</v>
      </c>
      <c r="O7" s="138">
        <v>175</v>
      </c>
      <c r="P7" s="138">
        <v>254.18</v>
      </c>
      <c r="Q7" s="138" t="s">
        <v>291</v>
      </c>
      <c r="R7" s="138" t="s">
        <v>291</v>
      </c>
      <c r="S7" s="138" t="s">
        <v>291</v>
      </c>
      <c r="T7" s="138" t="s">
        <v>291</v>
      </c>
      <c r="U7" s="138" t="s">
        <v>291</v>
      </c>
      <c r="V7" s="138">
        <v>152.5</v>
      </c>
      <c r="W7" s="138" t="s">
        <v>291</v>
      </c>
      <c r="X7" s="138" t="s">
        <v>291</v>
      </c>
      <c r="Y7" s="138" t="s">
        <v>291</v>
      </c>
      <c r="Z7" s="138" t="s">
        <v>291</v>
      </c>
      <c r="AA7" s="138" t="s">
        <v>291</v>
      </c>
      <c r="AB7" s="138" t="s">
        <v>291</v>
      </c>
      <c r="AC7" s="138" t="s">
        <v>291</v>
      </c>
      <c r="AD7" s="138" t="s">
        <v>291</v>
      </c>
      <c r="AE7" s="138" t="s">
        <v>291</v>
      </c>
      <c r="AF7" s="138" t="s">
        <v>291</v>
      </c>
      <c r="AG7" s="138" t="s">
        <v>291</v>
      </c>
      <c r="AH7" s="138" t="s">
        <v>291</v>
      </c>
      <c r="AI7" s="138" t="s">
        <v>291</v>
      </c>
      <c r="AJ7" s="138" t="s">
        <v>291</v>
      </c>
      <c r="AK7" s="138" t="s">
        <v>291</v>
      </c>
      <c r="AL7" s="138" t="s">
        <v>291</v>
      </c>
      <c r="AM7" s="147">
        <f>SUM(E7:AL7)/3</f>
        <v>193.89333333333335</v>
      </c>
      <c r="AN7" s="156">
        <f t="shared" si="0"/>
        <v>1938.9333333333334</v>
      </c>
    </row>
    <row r="8" spans="1:40" x14ac:dyDescent="0.2">
      <c r="A8" s="26">
        <v>5</v>
      </c>
      <c r="B8" s="24" t="s">
        <v>115</v>
      </c>
      <c r="C8" s="33" t="s">
        <v>112</v>
      </c>
      <c r="D8" s="139">
        <v>10</v>
      </c>
      <c r="E8" s="138" t="s">
        <v>291</v>
      </c>
      <c r="F8" s="138" t="s">
        <v>291</v>
      </c>
      <c r="G8" s="138" t="s">
        <v>291</v>
      </c>
      <c r="H8" s="138" t="s">
        <v>291</v>
      </c>
      <c r="I8" s="138" t="s">
        <v>291</v>
      </c>
      <c r="J8" s="138" t="s">
        <v>291</v>
      </c>
      <c r="K8" s="138" t="s">
        <v>291</v>
      </c>
      <c r="L8" s="138" t="s">
        <v>291</v>
      </c>
      <c r="M8" s="138" t="s">
        <v>291</v>
      </c>
      <c r="N8" s="138" t="s">
        <v>291</v>
      </c>
      <c r="O8" s="138">
        <v>192</v>
      </c>
      <c r="P8" s="138" t="s">
        <v>291</v>
      </c>
      <c r="Q8" s="138" t="s">
        <v>291</v>
      </c>
      <c r="R8" s="138">
        <v>286.52</v>
      </c>
      <c r="S8" s="138" t="s">
        <v>291</v>
      </c>
      <c r="T8" s="138" t="s">
        <v>291</v>
      </c>
      <c r="U8" s="138" t="s">
        <v>291</v>
      </c>
      <c r="V8" s="138">
        <v>236.47</v>
      </c>
      <c r="W8" s="138" t="s">
        <v>291</v>
      </c>
      <c r="X8" s="138" t="s">
        <v>291</v>
      </c>
      <c r="Y8" s="138" t="s">
        <v>291</v>
      </c>
      <c r="Z8" s="138" t="s">
        <v>291</v>
      </c>
      <c r="AA8" s="138" t="s">
        <v>291</v>
      </c>
      <c r="AB8" s="138" t="s">
        <v>291</v>
      </c>
      <c r="AC8" s="138" t="s">
        <v>291</v>
      </c>
      <c r="AD8" s="138" t="s">
        <v>291</v>
      </c>
      <c r="AE8" s="138" t="s">
        <v>291</v>
      </c>
      <c r="AF8" s="138" t="s">
        <v>291</v>
      </c>
      <c r="AG8" s="138" t="s">
        <v>291</v>
      </c>
      <c r="AH8" s="138" t="s">
        <v>291</v>
      </c>
      <c r="AI8" s="138" t="s">
        <v>291</v>
      </c>
      <c r="AJ8" s="138" t="s">
        <v>291</v>
      </c>
      <c r="AK8" s="138" t="s">
        <v>291</v>
      </c>
      <c r="AL8" s="138" t="s">
        <v>291</v>
      </c>
      <c r="AM8" s="147">
        <f>SUM(E8:AL8)/3</f>
        <v>238.33</v>
      </c>
      <c r="AN8" s="156">
        <f t="shared" si="0"/>
        <v>2383.3000000000002</v>
      </c>
    </row>
    <row r="9" spans="1:40" x14ac:dyDescent="0.2">
      <c r="A9" s="26">
        <v>6</v>
      </c>
      <c r="B9" s="24" t="s">
        <v>116</v>
      </c>
      <c r="C9" s="33" t="s">
        <v>112</v>
      </c>
      <c r="D9" s="139">
        <v>10</v>
      </c>
      <c r="E9" s="138" t="s">
        <v>291</v>
      </c>
      <c r="F9" s="138" t="s">
        <v>291</v>
      </c>
      <c r="G9" s="138" t="s">
        <v>291</v>
      </c>
      <c r="H9" s="138" t="s">
        <v>291</v>
      </c>
      <c r="I9" s="138" t="s">
        <v>291</v>
      </c>
      <c r="J9" s="138" t="s">
        <v>291</v>
      </c>
      <c r="K9" s="138" t="s">
        <v>291</v>
      </c>
      <c r="L9" s="138" t="s">
        <v>291</v>
      </c>
      <c r="M9" s="138" t="s">
        <v>291</v>
      </c>
      <c r="N9" s="138" t="s">
        <v>291</v>
      </c>
      <c r="O9" s="138">
        <v>192</v>
      </c>
      <c r="P9" s="138" t="s">
        <v>291</v>
      </c>
      <c r="Q9" s="138" t="s">
        <v>291</v>
      </c>
      <c r="R9" s="138" t="s">
        <v>291</v>
      </c>
      <c r="S9" s="138">
        <v>251.75</v>
      </c>
      <c r="T9" s="138" t="s">
        <v>291</v>
      </c>
      <c r="U9" s="138" t="s">
        <v>291</v>
      </c>
      <c r="V9" s="138" t="s">
        <v>291</v>
      </c>
      <c r="W9" s="138" t="s">
        <v>291</v>
      </c>
      <c r="X9" s="138" t="s">
        <v>291</v>
      </c>
      <c r="Y9" s="138" t="s">
        <v>291</v>
      </c>
      <c r="Z9" s="138" t="s">
        <v>291</v>
      </c>
      <c r="AA9" s="138" t="s">
        <v>291</v>
      </c>
      <c r="AB9" s="138" t="s">
        <v>291</v>
      </c>
      <c r="AC9" s="138" t="s">
        <v>291</v>
      </c>
      <c r="AD9" s="138" t="s">
        <v>291</v>
      </c>
      <c r="AE9" s="138" t="s">
        <v>291</v>
      </c>
      <c r="AF9" s="138" t="s">
        <v>291</v>
      </c>
      <c r="AG9" s="138" t="s">
        <v>291</v>
      </c>
      <c r="AH9" s="138" t="s">
        <v>291</v>
      </c>
      <c r="AI9" s="138" t="s">
        <v>291</v>
      </c>
      <c r="AJ9" s="138" t="s">
        <v>291</v>
      </c>
      <c r="AK9" s="138" t="s">
        <v>291</v>
      </c>
      <c r="AL9" s="138" t="s">
        <v>291</v>
      </c>
      <c r="AM9" s="147">
        <f>SUM(E9:AL9)/2</f>
        <v>221.875</v>
      </c>
      <c r="AN9" s="156">
        <f t="shared" si="0"/>
        <v>2218.75</v>
      </c>
    </row>
    <row r="10" spans="1:40" x14ac:dyDescent="0.2">
      <c r="A10" s="26">
        <v>7</v>
      </c>
      <c r="B10" s="24" t="s">
        <v>513</v>
      </c>
      <c r="C10" s="33" t="s">
        <v>112</v>
      </c>
      <c r="D10" s="160">
        <v>6</v>
      </c>
      <c r="E10" s="138" t="s">
        <v>291</v>
      </c>
      <c r="F10" s="138" t="s">
        <v>291</v>
      </c>
      <c r="G10" s="138" t="s">
        <v>291</v>
      </c>
      <c r="H10" s="138" t="s">
        <v>291</v>
      </c>
      <c r="I10" s="138" t="s">
        <v>291</v>
      </c>
      <c r="J10" s="138" t="s">
        <v>291</v>
      </c>
      <c r="K10" s="138" t="s">
        <v>291</v>
      </c>
      <c r="L10" s="138" t="s">
        <v>291</v>
      </c>
      <c r="M10" s="138" t="s">
        <v>291</v>
      </c>
      <c r="N10" s="138">
        <v>199.99</v>
      </c>
      <c r="O10" s="138">
        <v>239</v>
      </c>
      <c r="P10" s="138">
        <v>246.69</v>
      </c>
      <c r="Q10" s="138" t="s">
        <v>291</v>
      </c>
      <c r="R10" s="138" t="s">
        <v>291</v>
      </c>
      <c r="S10" s="138" t="s">
        <v>291</v>
      </c>
      <c r="T10" s="138" t="s">
        <v>291</v>
      </c>
      <c r="U10" s="138" t="s">
        <v>291</v>
      </c>
      <c r="V10" s="138" t="s">
        <v>291</v>
      </c>
      <c r="W10" s="138" t="s">
        <v>291</v>
      </c>
      <c r="X10" s="138" t="s">
        <v>291</v>
      </c>
      <c r="Y10" s="138" t="s">
        <v>291</v>
      </c>
      <c r="Z10" s="138" t="s">
        <v>291</v>
      </c>
      <c r="AA10" s="138" t="s">
        <v>291</v>
      </c>
      <c r="AB10" s="138" t="s">
        <v>291</v>
      </c>
      <c r="AC10" s="138" t="s">
        <v>291</v>
      </c>
      <c r="AD10" s="138" t="s">
        <v>291</v>
      </c>
      <c r="AE10" s="138" t="s">
        <v>291</v>
      </c>
      <c r="AF10" s="138" t="s">
        <v>291</v>
      </c>
      <c r="AG10" s="138" t="s">
        <v>291</v>
      </c>
      <c r="AH10" s="138" t="s">
        <v>291</v>
      </c>
      <c r="AI10" s="138" t="s">
        <v>291</v>
      </c>
      <c r="AJ10" s="138" t="s">
        <v>291</v>
      </c>
      <c r="AK10" s="138" t="s">
        <v>291</v>
      </c>
      <c r="AL10" s="138" t="s">
        <v>291</v>
      </c>
      <c r="AM10" s="147">
        <f>SUM(E10:AL10)/3</f>
        <v>228.56000000000003</v>
      </c>
      <c r="AN10" s="156">
        <f t="shared" si="0"/>
        <v>1371.3600000000001</v>
      </c>
    </row>
    <row r="11" spans="1:40" ht="28.5" customHeight="1" x14ac:dyDescent="0.2">
      <c r="A11" s="366" t="s">
        <v>318</v>
      </c>
      <c r="B11" s="367"/>
      <c r="C11" s="367"/>
      <c r="D11" s="368"/>
      <c r="E11" s="346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7"/>
      <c r="AG11" s="347"/>
      <c r="AH11" s="347"/>
      <c r="AI11" s="347"/>
      <c r="AJ11" s="347"/>
      <c r="AK11" s="347"/>
      <c r="AL11" s="348"/>
      <c r="AM11" s="148"/>
      <c r="AN11" s="157"/>
    </row>
    <row r="12" spans="1:40" ht="31.5" x14ac:dyDescent="0.2">
      <c r="A12" s="26">
        <v>8</v>
      </c>
      <c r="B12" s="24" t="s">
        <v>117</v>
      </c>
      <c r="C12" s="33" t="s">
        <v>112</v>
      </c>
      <c r="D12" s="139">
        <v>30</v>
      </c>
      <c r="E12" s="138" t="s">
        <v>291</v>
      </c>
      <c r="F12" s="138" t="s">
        <v>291</v>
      </c>
      <c r="G12" s="138" t="s">
        <v>291</v>
      </c>
      <c r="H12" s="138" t="s">
        <v>291</v>
      </c>
      <c r="I12" s="138" t="s">
        <v>291</v>
      </c>
      <c r="J12" s="138" t="s">
        <v>291</v>
      </c>
      <c r="K12" s="138" t="s">
        <v>291</v>
      </c>
      <c r="L12" s="138" t="s">
        <v>291</v>
      </c>
      <c r="M12" s="138" t="s">
        <v>291</v>
      </c>
      <c r="N12" s="138" t="s">
        <v>291</v>
      </c>
      <c r="O12" s="138" t="s">
        <v>291</v>
      </c>
      <c r="P12" s="138" t="s">
        <v>291</v>
      </c>
      <c r="Q12" s="138">
        <v>5</v>
      </c>
      <c r="R12" s="138">
        <v>3.51</v>
      </c>
      <c r="S12" s="138" t="s">
        <v>291</v>
      </c>
      <c r="T12" s="138" t="s">
        <v>291</v>
      </c>
      <c r="U12" s="138" t="s">
        <v>291</v>
      </c>
      <c r="V12" s="138">
        <v>6.43</v>
      </c>
      <c r="W12" s="138" t="s">
        <v>291</v>
      </c>
      <c r="X12" s="138">
        <v>5.4</v>
      </c>
      <c r="Y12" s="138" t="s">
        <v>291</v>
      </c>
      <c r="Z12" s="138" t="s">
        <v>291</v>
      </c>
      <c r="AA12" s="138" t="s">
        <v>291</v>
      </c>
      <c r="AB12" s="138" t="s">
        <v>291</v>
      </c>
      <c r="AC12" s="138" t="s">
        <v>291</v>
      </c>
      <c r="AD12" s="138" t="s">
        <v>291</v>
      </c>
      <c r="AE12" s="138" t="s">
        <v>291</v>
      </c>
      <c r="AF12" s="138" t="s">
        <v>291</v>
      </c>
      <c r="AG12" s="138" t="s">
        <v>291</v>
      </c>
      <c r="AH12" s="138" t="s">
        <v>291</v>
      </c>
      <c r="AI12" s="138" t="s">
        <v>291</v>
      </c>
      <c r="AJ12" s="138" t="s">
        <v>291</v>
      </c>
      <c r="AK12" s="138" t="s">
        <v>291</v>
      </c>
      <c r="AL12" s="138" t="s">
        <v>291</v>
      </c>
      <c r="AM12" s="149">
        <f t="shared" ref="AM12:AM19" si="1">SUM(E12:X12)/4</f>
        <v>5.085</v>
      </c>
      <c r="AN12" s="156">
        <f t="shared" ref="AN12:AN39" si="2">AM12*D12</f>
        <v>152.55000000000001</v>
      </c>
    </row>
    <row r="13" spans="1:40" ht="31.5" x14ac:dyDescent="0.2">
      <c r="A13" s="26">
        <v>9</v>
      </c>
      <c r="B13" s="24" t="s">
        <v>118</v>
      </c>
      <c r="C13" s="33" t="s">
        <v>112</v>
      </c>
      <c r="D13" s="139">
        <v>60</v>
      </c>
      <c r="E13" s="138" t="s">
        <v>291</v>
      </c>
      <c r="F13" s="138" t="s">
        <v>291</v>
      </c>
      <c r="G13" s="138" t="s">
        <v>291</v>
      </c>
      <c r="H13" s="138" t="s">
        <v>291</v>
      </c>
      <c r="I13" s="138" t="s">
        <v>291</v>
      </c>
      <c r="J13" s="138" t="s">
        <v>291</v>
      </c>
      <c r="K13" s="138" t="s">
        <v>291</v>
      </c>
      <c r="L13" s="138" t="s">
        <v>291</v>
      </c>
      <c r="M13" s="138" t="s">
        <v>291</v>
      </c>
      <c r="N13" s="138" t="s">
        <v>291</v>
      </c>
      <c r="O13" s="138" t="s">
        <v>291</v>
      </c>
      <c r="P13" s="138" t="s">
        <v>291</v>
      </c>
      <c r="Q13" s="138">
        <v>5</v>
      </c>
      <c r="R13" s="138">
        <v>4.09</v>
      </c>
      <c r="S13" s="138" t="s">
        <v>291</v>
      </c>
      <c r="T13" s="138" t="s">
        <v>291</v>
      </c>
      <c r="U13" s="138" t="s">
        <v>291</v>
      </c>
      <c r="V13" s="138">
        <v>6.79</v>
      </c>
      <c r="W13" s="138" t="s">
        <v>291</v>
      </c>
      <c r="X13" s="138">
        <v>5.5</v>
      </c>
      <c r="Y13" s="138" t="s">
        <v>291</v>
      </c>
      <c r="Z13" s="138" t="s">
        <v>291</v>
      </c>
      <c r="AA13" s="138" t="s">
        <v>291</v>
      </c>
      <c r="AB13" s="138" t="s">
        <v>291</v>
      </c>
      <c r="AC13" s="138" t="s">
        <v>291</v>
      </c>
      <c r="AD13" s="138" t="s">
        <v>291</v>
      </c>
      <c r="AE13" s="138" t="s">
        <v>291</v>
      </c>
      <c r="AF13" s="138" t="s">
        <v>291</v>
      </c>
      <c r="AG13" s="138" t="s">
        <v>291</v>
      </c>
      <c r="AH13" s="138" t="s">
        <v>291</v>
      </c>
      <c r="AI13" s="138" t="s">
        <v>291</v>
      </c>
      <c r="AJ13" s="138" t="s">
        <v>291</v>
      </c>
      <c r="AK13" s="138" t="s">
        <v>291</v>
      </c>
      <c r="AL13" s="138" t="s">
        <v>291</v>
      </c>
      <c r="AM13" s="149">
        <f t="shared" si="1"/>
        <v>5.3449999999999998</v>
      </c>
      <c r="AN13" s="156">
        <f t="shared" si="2"/>
        <v>320.7</v>
      </c>
    </row>
    <row r="14" spans="1:40" ht="31.5" x14ac:dyDescent="0.2">
      <c r="A14" s="26">
        <v>10</v>
      </c>
      <c r="B14" s="24" t="s">
        <v>119</v>
      </c>
      <c r="C14" s="33" t="s">
        <v>112</v>
      </c>
      <c r="D14" s="139">
        <v>30</v>
      </c>
      <c r="E14" s="138" t="s">
        <v>291</v>
      </c>
      <c r="F14" s="138" t="s">
        <v>291</v>
      </c>
      <c r="G14" s="138" t="s">
        <v>291</v>
      </c>
      <c r="H14" s="138" t="s">
        <v>291</v>
      </c>
      <c r="I14" s="138" t="s">
        <v>291</v>
      </c>
      <c r="J14" s="138" t="s">
        <v>291</v>
      </c>
      <c r="K14" s="138" t="s">
        <v>291</v>
      </c>
      <c r="L14" s="138" t="s">
        <v>291</v>
      </c>
      <c r="M14" s="138" t="s">
        <v>291</v>
      </c>
      <c r="N14" s="138" t="s">
        <v>291</v>
      </c>
      <c r="O14" s="138" t="s">
        <v>291</v>
      </c>
      <c r="P14" s="138" t="s">
        <v>291</v>
      </c>
      <c r="Q14" s="138">
        <v>5</v>
      </c>
      <c r="R14" s="138" t="s">
        <v>291</v>
      </c>
      <c r="S14" s="138" t="s">
        <v>291</v>
      </c>
      <c r="T14" s="138" t="s">
        <v>291</v>
      </c>
      <c r="U14" s="138" t="s">
        <v>291</v>
      </c>
      <c r="V14" s="138" t="s">
        <v>291</v>
      </c>
      <c r="W14" s="138" t="s">
        <v>291</v>
      </c>
      <c r="X14" s="138" t="s">
        <v>291</v>
      </c>
      <c r="Y14" s="138" t="s">
        <v>291</v>
      </c>
      <c r="Z14" s="138" t="s">
        <v>291</v>
      </c>
      <c r="AA14" s="138" t="s">
        <v>291</v>
      </c>
      <c r="AB14" s="138" t="s">
        <v>291</v>
      </c>
      <c r="AC14" s="138" t="s">
        <v>291</v>
      </c>
      <c r="AD14" s="138" t="s">
        <v>291</v>
      </c>
      <c r="AE14" s="138" t="s">
        <v>291</v>
      </c>
      <c r="AF14" s="138" t="s">
        <v>291</v>
      </c>
      <c r="AG14" s="138" t="s">
        <v>291</v>
      </c>
      <c r="AH14" s="138" t="s">
        <v>291</v>
      </c>
      <c r="AI14" s="138" t="s">
        <v>291</v>
      </c>
      <c r="AJ14" s="138" t="s">
        <v>291</v>
      </c>
      <c r="AK14" s="138" t="s">
        <v>291</v>
      </c>
      <c r="AL14" s="138" t="s">
        <v>291</v>
      </c>
      <c r="AM14" s="149">
        <f>Q14</f>
        <v>5</v>
      </c>
      <c r="AN14" s="156">
        <f t="shared" si="2"/>
        <v>150</v>
      </c>
    </row>
    <row r="15" spans="1:40" ht="31.5" x14ac:dyDescent="0.2">
      <c r="A15" s="26">
        <v>11</v>
      </c>
      <c r="B15" s="24" t="s">
        <v>120</v>
      </c>
      <c r="C15" s="33" t="s">
        <v>112</v>
      </c>
      <c r="D15" s="139">
        <v>60</v>
      </c>
      <c r="E15" s="138" t="s">
        <v>291</v>
      </c>
      <c r="F15" s="138" t="s">
        <v>291</v>
      </c>
      <c r="G15" s="138" t="s">
        <v>291</v>
      </c>
      <c r="H15" s="138" t="s">
        <v>291</v>
      </c>
      <c r="I15" s="138" t="s">
        <v>291</v>
      </c>
      <c r="J15" s="138" t="s">
        <v>291</v>
      </c>
      <c r="K15" s="138" t="s">
        <v>291</v>
      </c>
      <c r="L15" s="138" t="s">
        <v>291</v>
      </c>
      <c r="M15" s="138" t="s">
        <v>291</v>
      </c>
      <c r="N15" s="138" t="s">
        <v>291</v>
      </c>
      <c r="O15" s="138" t="s">
        <v>291</v>
      </c>
      <c r="P15" s="138" t="s">
        <v>291</v>
      </c>
      <c r="Q15" s="138">
        <v>5</v>
      </c>
      <c r="R15" s="138">
        <v>6.74</v>
      </c>
      <c r="S15" s="138" t="s">
        <v>291</v>
      </c>
      <c r="T15" s="138" t="s">
        <v>291</v>
      </c>
      <c r="U15" s="138" t="s">
        <v>291</v>
      </c>
      <c r="V15" s="138" t="s">
        <v>291</v>
      </c>
      <c r="W15" s="138" t="s">
        <v>291</v>
      </c>
      <c r="X15" s="138">
        <v>5.9</v>
      </c>
      <c r="Y15" s="138" t="s">
        <v>291</v>
      </c>
      <c r="Z15" s="138" t="s">
        <v>291</v>
      </c>
      <c r="AA15" s="138" t="s">
        <v>291</v>
      </c>
      <c r="AB15" s="138" t="s">
        <v>291</v>
      </c>
      <c r="AC15" s="138" t="s">
        <v>291</v>
      </c>
      <c r="AD15" s="138" t="s">
        <v>291</v>
      </c>
      <c r="AE15" s="138" t="s">
        <v>291</v>
      </c>
      <c r="AF15" s="138" t="s">
        <v>291</v>
      </c>
      <c r="AG15" s="138" t="s">
        <v>291</v>
      </c>
      <c r="AH15" s="138" t="s">
        <v>291</v>
      </c>
      <c r="AI15" s="138" t="s">
        <v>291</v>
      </c>
      <c r="AJ15" s="138" t="s">
        <v>291</v>
      </c>
      <c r="AK15" s="138" t="s">
        <v>291</v>
      </c>
      <c r="AL15" s="138" t="s">
        <v>291</v>
      </c>
      <c r="AM15" s="149">
        <f>SUM(E15:X15)/3</f>
        <v>5.88</v>
      </c>
      <c r="AN15" s="156">
        <f t="shared" si="2"/>
        <v>352.8</v>
      </c>
    </row>
    <row r="16" spans="1:40" x14ac:dyDescent="0.2">
      <c r="A16" s="26">
        <v>12</v>
      </c>
      <c r="B16" s="24" t="s">
        <v>121</v>
      </c>
      <c r="C16" s="33" t="s">
        <v>112</v>
      </c>
      <c r="D16" s="139">
        <v>30</v>
      </c>
      <c r="E16" s="138" t="s">
        <v>291</v>
      </c>
      <c r="F16" s="138" t="s">
        <v>291</v>
      </c>
      <c r="G16" s="138" t="s">
        <v>291</v>
      </c>
      <c r="H16" s="138" t="s">
        <v>291</v>
      </c>
      <c r="I16" s="138" t="s">
        <v>291</v>
      </c>
      <c r="J16" s="138" t="s">
        <v>291</v>
      </c>
      <c r="K16" s="138" t="s">
        <v>291</v>
      </c>
      <c r="L16" s="138" t="s">
        <v>291</v>
      </c>
      <c r="M16" s="138" t="s">
        <v>291</v>
      </c>
      <c r="N16" s="138" t="s">
        <v>291</v>
      </c>
      <c r="O16" s="138" t="s">
        <v>291</v>
      </c>
      <c r="P16" s="138" t="s">
        <v>291</v>
      </c>
      <c r="Q16" s="138">
        <v>7</v>
      </c>
      <c r="R16" s="138">
        <v>6.07</v>
      </c>
      <c r="S16" s="138" t="s">
        <v>291</v>
      </c>
      <c r="T16" s="138" t="s">
        <v>291</v>
      </c>
      <c r="U16" s="138">
        <v>6.61</v>
      </c>
      <c r="V16" s="138">
        <v>7.99</v>
      </c>
      <c r="W16" s="138"/>
      <c r="X16" s="138">
        <v>5.2</v>
      </c>
      <c r="Y16" s="138" t="s">
        <v>291</v>
      </c>
      <c r="Z16" s="138" t="s">
        <v>291</v>
      </c>
      <c r="AA16" s="138" t="s">
        <v>291</v>
      </c>
      <c r="AB16" s="138" t="s">
        <v>291</v>
      </c>
      <c r="AC16" s="138" t="s">
        <v>291</v>
      </c>
      <c r="AD16" s="138" t="s">
        <v>291</v>
      </c>
      <c r="AE16" s="138" t="s">
        <v>291</v>
      </c>
      <c r="AF16" s="138" t="s">
        <v>291</v>
      </c>
      <c r="AG16" s="138" t="s">
        <v>291</v>
      </c>
      <c r="AH16" s="138" t="s">
        <v>291</v>
      </c>
      <c r="AI16" s="138" t="s">
        <v>291</v>
      </c>
      <c r="AJ16" s="138" t="s">
        <v>291</v>
      </c>
      <c r="AK16" s="138" t="s">
        <v>291</v>
      </c>
      <c r="AL16" s="138" t="s">
        <v>291</v>
      </c>
      <c r="AM16" s="149">
        <f>SUM(E16:X16)/5</f>
        <v>6.5740000000000007</v>
      </c>
      <c r="AN16" s="156">
        <f t="shared" si="2"/>
        <v>197.22000000000003</v>
      </c>
    </row>
    <row r="17" spans="1:40" x14ac:dyDescent="0.2">
      <c r="A17" s="26">
        <v>13</v>
      </c>
      <c r="B17" s="24" t="s">
        <v>122</v>
      </c>
      <c r="C17" s="33" t="s">
        <v>112</v>
      </c>
      <c r="D17" s="139">
        <v>40</v>
      </c>
      <c r="E17" s="138" t="s">
        <v>291</v>
      </c>
      <c r="F17" s="138" t="s">
        <v>291</v>
      </c>
      <c r="G17" s="138" t="s">
        <v>291</v>
      </c>
      <c r="H17" s="138" t="s">
        <v>291</v>
      </c>
      <c r="I17" s="138" t="s">
        <v>291</v>
      </c>
      <c r="J17" s="138" t="s">
        <v>291</v>
      </c>
      <c r="K17" s="138" t="s">
        <v>291</v>
      </c>
      <c r="L17" s="138" t="s">
        <v>291</v>
      </c>
      <c r="M17" s="138" t="s">
        <v>291</v>
      </c>
      <c r="N17" s="138" t="s">
        <v>291</v>
      </c>
      <c r="O17" s="138" t="s">
        <v>291</v>
      </c>
      <c r="P17" s="138" t="s">
        <v>291</v>
      </c>
      <c r="Q17" s="138" t="s">
        <v>291</v>
      </c>
      <c r="R17" s="138">
        <v>26.97</v>
      </c>
      <c r="S17" s="138" t="s">
        <v>291</v>
      </c>
      <c r="T17" s="138" t="s">
        <v>291</v>
      </c>
      <c r="U17" s="138"/>
      <c r="V17" s="138">
        <v>25</v>
      </c>
      <c r="W17" s="138" t="s">
        <v>291</v>
      </c>
      <c r="X17" s="138">
        <v>14.1</v>
      </c>
      <c r="Y17" s="138" t="s">
        <v>291</v>
      </c>
      <c r="Z17" s="138" t="s">
        <v>291</v>
      </c>
      <c r="AA17" s="138" t="s">
        <v>291</v>
      </c>
      <c r="AB17" s="138" t="s">
        <v>291</v>
      </c>
      <c r="AC17" s="138" t="s">
        <v>291</v>
      </c>
      <c r="AD17" s="138" t="s">
        <v>291</v>
      </c>
      <c r="AE17" s="138" t="s">
        <v>291</v>
      </c>
      <c r="AF17" s="138" t="s">
        <v>291</v>
      </c>
      <c r="AG17" s="138" t="s">
        <v>291</v>
      </c>
      <c r="AH17" s="138" t="s">
        <v>291</v>
      </c>
      <c r="AI17" s="138" t="s">
        <v>291</v>
      </c>
      <c r="AJ17" s="138" t="s">
        <v>291</v>
      </c>
      <c r="AK17" s="138" t="s">
        <v>291</v>
      </c>
      <c r="AL17" s="138" t="s">
        <v>291</v>
      </c>
      <c r="AM17" s="149">
        <f>SUM(E17:X17)/3</f>
        <v>22.02333333333333</v>
      </c>
      <c r="AN17" s="156">
        <f t="shared" si="2"/>
        <v>880.93333333333317</v>
      </c>
    </row>
    <row r="18" spans="1:40" x14ac:dyDescent="0.2">
      <c r="A18" s="26">
        <v>14</v>
      </c>
      <c r="B18" s="24" t="s">
        <v>123</v>
      </c>
      <c r="C18" s="33" t="s">
        <v>112</v>
      </c>
      <c r="D18" s="139">
        <v>40</v>
      </c>
      <c r="E18" s="138" t="s">
        <v>291</v>
      </c>
      <c r="F18" s="138" t="s">
        <v>291</v>
      </c>
      <c r="G18" s="138" t="s">
        <v>291</v>
      </c>
      <c r="H18" s="138" t="s">
        <v>291</v>
      </c>
      <c r="I18" s="138" t="s">
        <v>291</v>
      </c>
      <c r="J18" s="138" t="s">
        <v>291</v>
      </c>
      <c r="K18" s="138" t="s">
        <v>291</v>
      </c>
      <c r="L18" s="138" t="s">
        <v>291</v>
      </c>
      <c r="M18" s="138" t="s">
        <v>291</v>
      </c>
      <c r="N18" s="138" t="s">
        <v>291</v>
      </c>
      <c r="O18" s="138" t="s">
        <v>291</v>
      </c>
      <c r="P18" s="138" t="s">
        <v>291</v>
      </c>
      <c r="Q18" s="138" t="s">
        <v>291</v>
      </c>
      <c r="R18" s="138">
        <v>15.04</v>
      </c>
      <c r="S18" s="138" t="s">
        <v>291</v>
      </c>
      <c r="T18" s="138" t="s">
        <v>291</v>
      </c>
      <c r="U18" s="138" t="s">
        <v>291</v>
      </c>
      <c r="V18" s="138">
        <v>16.93</v>
      </c>
      <c r="W18" s="138" t="s">
        <v>291</v>
      </c>
      <c r="X18" s="138">
        <v>15.6</v>
      </c>
      <c r="Y18" s="138" t="s">
        <v>291</v>
      </c>
      <c r="Z18" s="138" t="s">
        <v>291</v>
      </c>
      <c r="AA18" s="138" t="s">
        <v>291</v>
      </c>
      <c r="AB18" s="138" t="s">
        <v>291</v>
      </c>
      <c r="AC18" s="138" t="s">
        <v>291</v>
      </c>
      <c r="AD18" s="138" t="s">
        <v>291</v>
      </c>
      <c r="AE18" s="138" t="s">
        <v>291</v>
      </c>
      <c r="AF18" s="138" t="s">
        <v>291</v>
      </c>
      <c r="AG18" s="138" t="s">
        <v>291</v>
      </c>
      <c r="AH18" s="138" t="s">
        <v>291</v>
      </c>
      <c r="AI18" s="138" t="s">
        <v>291</v>
      </c>
      <c r="AJ18" s="138" t="s">
        <v>291</v>
      </c>
      <c r="AK18" s="138" t="s">
        <v>291</v>
      </c>
      <c r="AL18" s="138" t="s">
        <v>291</v>
      </c>
      <c r="AM18" s="149">
        <f>SUM(E18:X18)/3</f>
        <v>15.856666666666667</v>
      </c>
      <c r="AN18" s="156">
        <f t="shared" si="2"/>
        <v>634.26666666666665</v>
      </c>
    </row>
    <row r="19" spans="1:40" x14ac:dyDescent="0.2">
      <c r="A19" s="26">
        <v>15</v>
      </c>
      <c r="B19" s="24" t="s">
        <v>124</v>
      </c>
      <c r="C19" s="33" t="s">
        <v>112</v>
      </c>
      <c r="D19" s="139">
        <v>60</v>
      </c>
      <c r="E19" s="138" t="s">
        <v>291</v>
      </c>
      <c r="F19" s="138" t="s">
        <v>291</v>
      </c>
      <c r="G19" s="138" t="s">
        <v>291</v>
      </c>
      <c r="H19" s="138" t="s">
        <v>291</v>
      </c>
      <c r="I19" s="138" t="s">
        <v>291</v>
      </c>
      <c r="J19" s="138" t="s">
        <v>291</v>
      </c>
      <c r="K19" s="138" t="s">
        <v>291</v>
      </c>
      <c r="L19" s="138" t="s">
        <v>291</v>
      </c>
      <c r="M19" s="138" t="s">
        <v>291</v>
      </c>
      <c r="N19" s="138" t="s">
        <v>291</v>
      </c>
      <c r="O19" s="138" t="s">
        <v>291</v>
      </c>
      <c r="P19" s="138" t="s">
        <v>291</v>
      </c>
      <c r="Q19" s="138">
        <v>15</v>
      </c>
      <c r="R19" s="138">
        <v>18.11</v>
      </c>
      <c r="S19" s="138" t="s">
        <v>291</v>
      </c>
      <c r="T19" s="138" t="s">
        <v>291</v>
      </c>
      <c r="U19" s="138" t="s">
        <v>291</v>
      </c>
      <c r="V19" s="138">
        <v>21.45</v>
      </c>
      <c r="W19" s="138" t="s">
        <v>291</v>
      </c>
      <c r="X19" s="138">
        <v>16.8</v>
      </c>
      <c r="Y19" s="138" t="s">
        <v>291</v>
      </c>
      <c r="Z19" s="138" t="s">
        <v>291</v>
      </c>
      <c r="AA19" s="138" t="s">
        <v>291</v>
      </c>
      <c r="AB19" s="138" t="s">
        <v>291</v>
      </c>
      <c r="AC19" s="138" t="s">
        <v>291</v>
      </c>
      <c r="AD19" s="138" t="s">
        <v>291</v>
      </c>
      <c r="AE19" s="138" t="s">
        <v>291</v>
      </c>
      <c r="AF19" s="138" t="s">
        <v>291</v>
      </c>
      <c r="AG19" s="138" t="s">
        <v>291</v>
      </c>
      <c r="AH19" s="138" t="s">
        <v>291</v>
      </c>
      <c r="AI19" s="138" t="s">
        <v>291</v>
      </c>
      <c r="AJ19" s="138" t="s">
        <v>291</v>
      </c>
      <c r="AK19" s="138" t="s">
        <v>291</v>
      </c>
      <c r="AL19" s="138" t="s">
        <v>291</v>
      </c>
      <c r="AM19" s="149">
        <f t="shared" si="1"/>
        <v>17.84</v>
      </c>
      <c r="AN19" s="156">
        <f t="shared" si="2"/>
        <v>1070.4000000000001</v>
      </c>
    </row>
    <row r="20" spans="1:40" x14ac:dyDescent="0.2">
      <c r="A20" s="26">
        <v>16</v>
      </c>
      <c r="B20" s="24" t="s">
        <v>125</v>
      </c>
      <c r="C20" s="33" t="s">
        <v>112</v>
      </c>
      <c r="D20" s="139">
        <v>30</v>
      </c>
      <c r="E20" s="138" t="s">
        <v>291</v>
      </c>
      <c r="F20" s="138" t="s">
        <v>291</v>
      </c>
      <c r="G20" s="138" t="s">
        <v>291</v>
      </c>
      <c r="H20" s="138" t="s">
        <v>291</v>
      </c>
      <c r="I20" s="138" t="s">
        <v>291</v>
      </c>
      <c r="J20" s="138" t="s">
        <v>291</v>
      </c>
      <c r="K20" s="138" t="s">
        <v>291</v>
      </c>
      <c r="L20" s="138" t="s">
        <v>291</v>
      </c>
      <c r="M20" s="138" t="s">
        <v>291</v>
      </c>
      <c r="N20" s="138" t="s">
        <v>291</v>
      </c>
      <c r="O20" s="138" t="s">
        <v>291</v>
      </c>
      <c r="P20" s="138" t="s">
        <v>291</v>
      </c>
      <c r="Q20" s="138" t="s">
        <v>291</v>
      </c>
      <c r="R20" s="138">
        <v>18.55</v>
      </c>
      <c r="S20" s="138" t="s">
        <v>291</v>
      </c>
      <c r="T20" s="138" t="s">
        <v>291</v>
      </c>
      <c r="U20" s="138" t="s">
        <v>291</v>
      </c>
      <c r="V20" s="138">
        <v>36.6</v>
      </c>
      <c r="W20" s="138" t="s">
        <v>291</v>
      </c>
      <c r="X20" s="138">
        <v>18</v>
      </c>
      <c r="Y20" s="138" t="s">
        <v>291</v>
      </c>
      <c r="Z20" s="138" t="s">
        <v>291</v>
      </c>
      <c r="AA20" s="138" t="s">
        <v>291</v>
      </c>
      <c r="AB20" s="138" t="s">
        <v>291</v>
      </c>
      <c r="AC20" s="138" t="s">
        <v>291</v>
      </c>
      <c r="AD20" s="138" t="s">
        <v>291</v>
      </c>
      <c r="AE20" s="138" t="s">
        <v>291</v>
      </c>
      <c r="AF20" s="138" t="s">
        <v>291</v>
      </c>
      <c r="AG20" s="138" t="s">
        <v>291</v>
      </c>
      <c r="AH20" s="138" t="s">
        <v>291</v>
      </c>
      <c r="AI20" s="138" t="s">
        <v>291</v>
      </c>
      <c r="AJ20" s="138" t="s">
        <v>291</v>
      </c>
      <c r="AK20" s="138" t="s">
        <v>291</v>
      </c>
      <c r="AL20" s="138" t="s">
        <v>291</v>
      </c>
      <c r="AM20" s="149">
        <f>SUM(E20:X20)/3</f>
        <v>24.383333333333336</v>
      </c>
      <c r="AN20" s="156">
        <f t="shared" si="2"/>
        <v>731.50000000000011</v>
      </c>
    </row>
    <row r="21" spans="1:40" x14ac:dyDescent="0.2">
      <c r="A21" s="26">
        <v>17</v>
      </c>
      <c r="B21" s="24" t="s">
        <v>126</v>
      </c>
      <c r="C21" s="33" t="s">
        <v>112</v>
      </c>
      <c r="D21" s="139">
        <v>30</v>
      </c>
      <c r="E21" s="138" t="s">
        <v>291</v>
      </c>
      <c r="F21" s="138" t="s">
        <v>291</v>
      </c>
      <c r="G21" s="138" t="s">
        <v>291</v>
      </c>
      <c r="H21" s="138" t="s">
        <v>291</v>
      </c>
      <c r="I21" s="138" t="s">
        <v>291</v>
      </c>
      <c r="J21" s="138" t="s">
        <v>291</v>
      </c>
      <c r="K21" s="138" t="s">
        <v>291</v>
      </c>
      <c r="L21" s="138" t="s">
        <v>291</v>
      </c>
      <c r="M21" s="138" t="s">
        <v>291</v>
      </c>
      <c r="N21" s="138" t="s">
        <v>291</v>
      </c>
      <c r="O21" s="138" t="s">
        <v>291</v>
      </c>
      <c r="P21" s="138" t="s">
        <v>291</v>
      </c>
      <c r="Q21" s="138">
        <v>25</v>
      </c>
      <c r="R21" s="138">
        <v>29.49</v>
      </c>
      <c r="S21" s="138" t="s">
        <v>291</v>
      </c>
      <c r="T21" s="138" t="s">
        <v>291</v>
      </c>
      <c r="U21" s="138" t="s">
        <v>291</v>
      </c>
      <c r="V21" s="138">
        <v>37</v>
      </c>
      <c r="W21" s="138" t="s">
        <v>291</v>
      </c>
      <c r="X21" s="138">
        <v>22.3</v>
      </c>
      <c r="Y21" s="138" t="s">
        <v>291</v>
      </c>
      <c r="Z21" s="138" t="s">
        <v>291</v>
      </c>
      <c r="AA21" s="138" t="s">
        <v>291</v>
      </c>
      <c r="AB21" s="138" t="s">
        <v>291</v>
      </c>
      <c r="AC21" s="138" t="s">
        <v>291</v>
      </c>
      <c r="AD21" s="138" t="s">
        <v>291</v>
      </c>
      <c r="AE21" s="138" t="s">
        <v>291</v>
      </c>
      <c r="AF21" s="138" t="s">
        <v>291</v>
      </c>
      <c r="AG21" s="138" t="s">
        <v>291</v>
      </c>
      <c r="AH21" s="138" t="s">
        <v>291</v>
      </c>
      <c r="AI21" s="138" t="s">
        <v>291</v>
      </c>
      <c r="AJ21" s="138" t="s">
        <v>291</v>
      </c>
      <c r="AK21" s="138" t="s">
        <v>291</v>
      </c>
      <c r="AL21" s="138" t="s">
        <v>291</v>
      </c>
      <c r="AM21" s="149">
        <f>SUM(E21:X21)/4</f>
        <v>28.447499999999998</v>
      </c>
      <c r="AN21" s="156">
        <f t="shared" si="2"/>
        <v>853.42499999999995</v>
      </c>
    </row>
    <row r="22" spans="1:40" x14ac:dyDescent="0.2">
      <c r="A22" s="26">
        <v>18</v>
      </c>
      <c r="B22" s="24" t="s">
        <v>510</v>
      </c>
      <c r="C22" s="33" t="s">
        <v>112</v>
      </c>
      <c r="D22" s="139">
        <v>24</v>
      </c>
      <c r="E22" s="138" t="s">
        <v>291</v>
      </c>
      <c r="F22" s="138" t="s">
        <v>291</v>
      </c>
      <c r="G22" s="138" t="s">
        <v>291</v>
      </c>
      <c r="H22" s="138" t="s">
        <v>291</v>
      </c>
      <c r="I22" s="138" t="s">
        <v>291</v>
      </c>
      <c r="J22" s="138" t="s">
        <v>291</v>
      </c>
      <c r="K22" s="138" t="s">
        <v>291</v>
      </c>
      <c r="L22" s="138" t="s">
        <v>291</v>
      </c>
      <c r="M22" s="138" t="s">
        <v>291</v>
      </c>
      <c r="N22" s="138" t="s">
        <v>291</v>
      </c>
      <c r="O22" s="138" t="s">
        <v>291</v>
      </c>
      <c r="P22" s="138" t="s">
        <v>291</v>
      </c>
      <c r="Q22" s="138">
        <v>660.15</v>
      </c>
      <c r="R22" s="138">
        <v>750</v>
      </c>
      <c r="S22" s="138" t="s">
        <v>291</v>
      </c>
      <c r="T22" s="138" t="s">
        <v>291</v>
      </c>
      <c r="U22" s="138">
        <v>713.6</v>
      </c>
      <c r="V22" s="138">
        <v>580</v>
      </c>
      <c r="W22" s="138" t="s">
        <v>291</v>
      </c>
      <c r="X22" s="138" t="s">
        <v>291</v>
      </c>
      <c r="Y22" s="138" t="s">
        <v>291</v>
      </c>
      <c r="Z22" s="138" t="s">
        <v>291</v>
      </c>
      <c r="AA22" s="138" t="s">
        <v>291</v>
      </c>
      <c r="AB22" s="138" t="s">
        <v>291</v>
      </c>
      <c r="AC22" s="138" t="s">
        <v>291</v>
      </c>
      <c r="AD22" s="138" t="s">
        <v>291</v>
      </c>
      <c r="AE22" s="138" t="s">
        <v>291</v>
      </c>
      <c r="AF22" s="138" t="s">
        <v>291</v>
      </c>
      <c r="AG22" s="138" t="s">
        <v>291</v>
      </c>
      <c r="AH22" s="138" t="s">
        <v>291</v>
      </c>
      <c r="AI22" s="138" t="s">
        <v>291</v>
      </c>
      <c r="AJ22" s="138" t="s">
        <v>291</v>
      </c>
      <c r="AK22" s="138" t="s">
        <v>291</v>
      </c>
      <c r="AL22" s="138" t="s">
        <v>291</v>
      </c>
      <c r="AM22" s="149">
        <f>SUM(E22:AL22)/4</f>
        <v>675.9375</v>
      </c>
      <c r="AN22" s="156">
        <f t="shared" si="2"/>
        <v>16222.5</v>
      </c>
    </row>
    <row r="23" spans="1:40" x14ac:dyDescent="0.2">
      <c r="A23" s="26">
        <v>19</v>
      </c>
      <c r="B23" s="24" t="s">
        <v>504</v>
      </c>
      <c r="C23" s="33" t="s">
        <v>112</v>
      </c>
      <c r="D23" s="139">
        <v>24</v>
      </c>
      <c r="E23" s="138" t="s">
        <v>291</v>
      </c>
      <c r="F23" s="138" t="s">
        <v>291</v>
      </c>
      <c r="G23" s="138" t="s">
        <v>291</v>
      </c>
      <c r="H23" s="138" t="s">
        <v>291</v>
      </c>
      <c r="I23" s="138" t="s">
        <v>291</v>
      </c>
      <c r="J23" s="138" t="s">
        <v>291</v>
      </c>
      <c r="K23" s="138" t="s">
        <v>291</v>
      </c>
      <c r="L23" s="138" t="s">
        <v>291</v>
      </c>
      <c r="M23" s="138" t="s">
        <v>291</v>
      </c>
      <c r="N23" s="138" t="s">
        <v>291</v>
      </c>
      <c r="O23" s="138" t="s">
        <v>291</v>
      </c>
      <c r="P23" s="138" t="s">
        <v>291</v>
      </c>
      <c r="Q23" s="138" t="s">
        <v>291</v>
      </c>
      <c r="R23" s="138">
        <v>842.7</v>
      </c>
      <c r="S23" s="138" t="s">
        <v>291</v>
      </c>
      <c r="T23" s="138" t="s">
        <v>291</v>
      </c>
      <c r="U23" s="138">
        <v>776.5</v>
      </c>
      <c r="V23" s="138" t="s">
        <v>291</v>
      </c>
      <c r="W23" s="138" t="s">
        <v>291</v>
      </c>
      <c r="X23" s="138">
        <v>650</v>
      </c>
      <c r="Y23" s="138" t="s">
        <v>291</v>
      </c>
      <c r="Z23" s="138" t="s">
        <v>291</v>
      </c>
      <c r="AA23" s="138" t="s">
        <v>291</v>
      </c>
      <c r="AB23" s="138" t="s">
        <v>291</v>
      </c>
      <c r="AC23" s="138" t="s">
        <v>291</v>
      </c>
      <c r="AD23" s="138" t="s">
        <v>291</v>
      </c>
      <c r="AE23" s="138" t="s">
        <v>291</v>
      </c>
      <c r="AF23" s="138" t="s">
        <v>291</v>
      </c>
      <c r="AG23" s="138" t="s">
        <v>291</v>
      </c>
      <c r="AH23" s="138" t="s">
        <v>291</v>
      </c>
      <c r="AI23" s="138" t="s">
        <v>291</v>
      </c>
      <c r="AJ23" s="138" t="s">
        <v>291</v>
      </c>
      <c r="AK23" s="138" t="s">
        <v>291</v>
      </c>
      <c r="AL23" s="138" t="s">
        <v>291</v>
      </c>
      <c r="AM23" s="149">
        <f t="shared" ref="AM23:AM30" si="3">SUM(E23:AL23)/3</f>
        <v>756.4</v>
      </c>
      <c r="AN23" s="156">
        <f t="shared" si="2"/>
        <v>18153.599999999999</v>
      </c>
    </row>
    <row r="24" spans="1:40" x14ac:dyDescent="0.2">
      <c r="A24" s="26">
        <v>20</v>
      </c>
      <c r="B24" s="24" t="s">
        <v>505</v>
      </c>
      <c r="C24" s="33" t="s">
        <v>112</v>
      </c>
      <c r="D24" s="139">
        <v>24</v>
      </c>
      <c r="E24" s="138" t="s">
        <v>291</v>
      </c>
      <c r="F24" s="138" t="s">
        <v>291</v>
      </c>
      <c r="G24" s="138" t="s">
        <v>291</v>
      </c>
      <c r="H24" s="138" t="s">
        <v>291</v>
      </c>
      <c r="I24" s="138" t="s">
        <v>291</v>
      </c>
      <c r="J24" s="138" t="s">
        <v>291</v>
      </c>
      <c r="K24" s="138" t="s">
        <v>291</v>
      </c>
      <c r="L24" s="138" t="s">
        <v>291</v>
      </c>
      <c r="M24" s="138" t="s">
        <v>291</v>
      </c>
      <c r="N24" s="138" t="s">
        <v>291</v>
      </c>
      <c r="O24" s="138" t="s">
        <v>291</v>
      </c>
      <c r="P24" s="138" t="s">
        <v>291</v>
      </c>
      <c r="Q24" s="138">
        <v>851.31</v>
      </c>
      <c r="R24" s="138">
        <v>941</v>
      </c>
      <c r="S24" s="138" t="s">
        <v>291</v>
      </c>
      <c r="T24" s="138" t="s">
        <v>291</v>
      </c>
      <c r="U24" s="138" t="s">
        <v>291</v>
      </c>
      <c r="V24" s="138">
        <v>870</v>
      </c>
      <c r="W24" s="138" t="s">
        <v>291</v>
      </c>
      <c r="X24" s="138" t="s">
        <v>291</v>
      </c>
      <c r="Y24" s="138" t="s">
        <v>291</v>
      </c>
      <c r="Z24" s="138" t="s">
        <v>291</v>
      </c>
      <c r="AA24" s="138" t="s">
        <v>291</v>
      </c>
      <c r="AB24" s="138" t="s">
        <v>291</v>
      </c>
      <c r="AC24" s="138" t="s">
        <v>291</v>
      </c>
      <c r="AD24" s="138" t="s">
        <v>291</v>
      </c>
      <c r="AE24" s="138" t="s">
        <v>291</v>
      </c>
      <c r="AF24" s="138" t="s">
        <v>291</v>
      </c>
      <c r="AG24" s="138" t="s">
        <v>291</v>
      </c>
      <c r="AH24" s="138" t="s">
        <v>291</v>
      </c>
      <c r="AI24" s="138" t="s">
        <v>291</v>
      </c>
      <c r="AJ24" s="138" t="s">
        <v>291</v>
      </c>
      <c r="AK24" s="138" t="s">
        <v>291</v>
      </c>
      <c r="AL24" s="138" t="s">
        <v>291</v>
      </c>
      <c r="AM24" s="149">
        <f t="shared" si="3"/>
        <v>887.43666666666661</v>
      </c>
      <c r="AN24" s="156">
        <f t="shared" si="2"/>
        <v>21298.48</v>
      </c>
    </row>
    <row r="25" spans="1:40" x14ac:dyDescent="0.2">
      <c r="A25" s="26">
        <v>21</v>
      </c>
      <c r="B25" s="24" t="s">
        <v>506</v>
      </c>
      <c r="C25" s="33" t="s">
        <v>112</v>
      </c>
      <c r="D25" s="139">
        <v>24</v>
      </c>
      <c r="E25" s="138" t="s">
        <v>291</v>
      </c>
      <c r="F25" s="138" t="s">
        <v>291</v>
      </c>
      <c r="G25" s="138" t="s">
        <v>291</v>
      </c>
      <c r="H25" s="138" t="s">
        <v>291</v>
      </c>
      <c r="I25" s="138" t="s">
        <v>291</v>
      </c>
      <c r="J25" s="138" t="s">
        <v>291</v>
      </c>
      <c r="K25" s="138" t="s">
        <v>291</v>
      </c>
      <c r="L25" s="138" t="s">
        <v>291</v>
      </c>
      <c r="M25" s="138" t="s">
        <v>291</v>
      </c>
      <c r="N25" s="138" t="s">
        <v>291</v>
      </c>
      <c r="O25" s="138" t="s">
        <v>291</v>
      </c>
      <c r="P25" s="138" t="s">
        <v>291</v>
      </c>
      <c r="Q25" s="138" t="s">
        <v>291</v>
      </c>
      <c r="R25" s="138">
        <v>1130.6199999999999</v>
      </c>
      <c r="S25" s="138" t="s">
        <v>291</v>
      </c>
      <c r="T25" s="138" t="s">
        <v>291</v>
      </c>
      <c r="U25" s="138">
        <v>918.8</v>
      </c>
      <c r="V25" s="138">
        <v>850</v>
      </c>
      <c r="W25" s="138" t="s">
        <v>291</v>
      </c>
      <c r="X25" s="138" t="s">
        <v>291</v>
      </c>
      <c r="Y25" s="138" t="s">
        <v>291</v>
      </c>
      <c r="Z25" s="138" t="s">
        <v>291</v>
      </c>
      <c r="AA25" s="138" t="s">
        <v>291</v>
      </c>
      <c r="AB25" s="138" t="s">
        <v>291</v>
      </c>
      <c r="AC25" s="138" t="s">
        <v>291</v>
      </c>
      <c r="AD25" s="138" t="s">
        <v>291</v>
      </c>
      <c r="AE25" s="138" t="s">
        <v>291</v>
      </c>
      <c r="AF25" s="138" t="s">
        <v>291</v>
      </c>
      <c r="AG25" s="138" t="s">
        <v>291</v>
      </c>
      <c r="AH25" s="138" t="s">
        <v>291</v>
      </c>
      <c r="AI25" s="138" t="s">
        <v>291</v>
      </c>
      <c r="AJ25" s="138" t="s">
        <v>291</v>
      </c>
      <c r="AK25" s="138" t="s">
        <v>291</v>
      </c>
      <c r="AL25" s="138" t="s">
        <v>291</v>
      </c>
      <c r="AM25" s="149">
        <f t="shared" si="3"/>
        <v>966.47333333333336</v>
      </c>
      <c r="AN25" s="156">
        <f t="shared" si="2"/>
        <v>23195.360000000001</v>
      </c>
    </row>
    <row r="26" spans="1:40" x14ac:dyDescent="0.2">
      <c r="A26" s="26">
        <v>22</v>
      </c>
      <c r="B26" s="24" t="s">
        <v>507</v>
      </c>
      <c r="C26" s="33" t="s">
        <v>112</v>
      </c>
      <c r="D26" s="139">
        <v>8</v>
      </c>
      <c r="E26" s="138" t="s">
        <v>291</v>
      </c>
      <c r="F26" s="138" t="s">
        <v>291</v>
      </c>
      <c r="G26" s="138" t="s">
        <v>291</v>
      </c>
      <c r="H26" s="138" t="s">
        <v>291</v>
      </c>
      <c r="I26" s="138" t="s">
        <v>291</v>
      </c>
      <c r="J26" s="138" t="s">
        <v>291</v>
      </c>
      <c r="K26" s="138" t="s">
        <v>291</v>
      </c>
      <c r="L26" s="138" t="s">
        <v>291</v>
      </c>
      <c r="M26" s="138" t="s">
        <v>291</v>
      </c>
      <c r="N26" s="138" t="s">
        <v>291</v>
      </c>
      <c r="O26" s="138" t="s">
        <v>291</v>
      </c>
      <c r="P26" s="138" t="s">
        <v>291</v>
      </c>
      <c r="Q26" s="138">
        <v>1678</v>
      </c>
      <c r="R26" s="138" t="s">
        <v>291</v>
      </c>
      <c r="S26" s="138" t="s">
        <v>291</v>
      </c>
      <c r="T26" s="138" t="s">
        <v>291</v>
      </c>
      <c r="U26" s="138" t="s">
        <v>291</v>
      </c>
      <c r="V26" s="138">
        <v>1770</v>
      </c>
      <c r="W26" s="138" t="s">
        <v>291</v>
      </c>
      <c r="X26" s="138">
        <v>1800</v>
      </c>
      <c r="Y26" s="138" t="s">
        <v>291</v>
      </c>
      <c r="Z26" s="138" t="s">
        <v>291</v>
      </c>
      <c r="AA26" s="138" t="s">
        <v>291</v>
      </c>
      <c r="AB26" s="138" t="s">
        <v>291</v>
      </c>
      <c r="AC26" s="138" t="s">
        <v>291</v>
      </c>
      <c r="AD26" s="138" t="s">
        <v>291</v>
      </c>
      <c r="AE26" s="138" t="s">
        <v>291</v>
      </c>
      <c r="AF26" s="138" t="s">
        <v>291</v>
      </c>
      <c r="AG26" s="138" t="s">
        <v>291</v>
      </c>
      <c r="AH26" s="138" t="s">
        <v>291</v>
      </c>
      <c r="AI26" s="138" t="s">
        <v>291</v>
      </c>
      <c r="AJ26" s="138" t="s">
        <v>291</v>
      </c>
      <c r="AK26" s="138" t="s">
        <v>291</v>
      </c>
      <c r="AL26" s="138" t="s">
        <v>291</v>
      </c>
      <c r="AM26" s="149">
        <f t="shared" si="3"/>
        <v>1749.3333333333333</v>
      </c>
      <c r="AN26" s="156">
        <f t="shared" si="2"/>
        <v>13994.666666666666</v>
      </c>
    </row>
    <row r="27" spans="1:40" x14ac:dyDescent="0.2">
      <c r="A27" s="26">
        <v>23</v>
      </c>
      <c r="B27" s="24" t="s">
        <v>508</v>
      </c>
      <c r="C27" s="33" t="s">
        <v>112</v>
      </c>
      <c r="D27" s="139">
        <v>1</v>
      </c>
      <c r="E27" s="138" t="s">
        <v>291</v>
      </c>
      <c r="F27" s="138" t="s">
        <v>291</v>
      </c>
      <c r="G27" s="138" t="s">
        <v>291</v>
      </c>
      <c r="H27" s="138" t="s">
        <v>291</v>
      </c>
      <c r="I27" s="138" t="s">
        <v>291</v>
      </c>
      <c r="J27" s="138" t="s">
        <v>291</v>
      </c>
      <c r="K27" s="138" t="s">
        <v>291</v>
      </c>
      <c r="L27" s="138" t="s">
        <v>291</v>
      </c>
      <c r="M27" s="138" t="s">
        <v>291</v>
      </c>
      <c r="N27" s="138" t="s">
        <v>291</v>
      </c>
      <c r="O27" s="138" t="s">
        <v>291</v>
      </c>
      <c r="P27" s="138" t="s">
        <v>291</v>
      </c>
      <c r="Q27" s="138">
        <v>2216.6999999999998</v>
      </c>
      <c r="R27" s="138" t="s">
        <v>291</v>
      </c>
      <c r="S27" s="138" t="s">
        <v>291</v>
      </c>
      <c r="T27" s="138" t="s">
        <v>291</v>
      </c>
      <c r="U27" s="138" t="s">
        <v>291</v>
      </c>
      <c r="V27" s="138">
        <v>2295</v>
      </c>
      <c r="W27" s="138" t="s">
        <v>291</v>
      </c>
      <c r="X27" s="138">
        <v>2099</v>
      </c>
      <c r="Y27" s="138" t="s">
        <v>291</v>
      </c>
      <c r="Z27" s="138" t="s">
        <v>291</v>
      </c>
      <c r="AA27" s="138" t="s">
        <v>291</v>
      </c>
      <c r="AB27" s="138" t="s">
        <v>291</v>
      </c>
      <c r="AC27" s="138" t="s">
        <v>291</v>
      </c>
      <c r="AD27" s="138" t="s">
        <v>291</v>
      </c>
      <c r="AE27" s="138" t="s">
        <v>291</v>
      </c>
      <c r="AF27" s="138" t="s">
        <v>291</v>
      </c>
      <c r="AG27" s="138" t="s">
        <v>291</v>
      </c>
      <c r="AH27" s="138" t="s">
        <v>291</v>
      </c>
      <c r="AI27" s="138" t="s">
        <v>291</v>
      </c>
      <c r="AJ27" s="138" t="s">
        <v>291</v>
      </c>
      <c r="AK27" s="138" t="s">
        <v>291</v>
      </c>
      <c r="AL27" s="138" t="s">
        <v>291</v>
      </c>
      <c r="AM27" s="149">
        <f t="shared" si="3"/>
        <v>2203.5666666666666</v>
      </c>
      <c r="AN27" s="156">
        <f t="shared" si="2"/>
        <v>2203.5666666666666</v>
      </c>
    </row>
    <row r="28" spans="1:40" x14ac:dyDescent="0.2">
      <c r="A28" s="26">
        <v>24</v>
      </c>
      <c r="B28" s="24" t="s">
        <v>509</v>
      </c>
      <c r="C28" s="33" t="s">
        <v>112</v>
      </c>
      <c r="D28" s="139">
        <v>1</v>
      </c>
      <c r="E28" s="138" t="s">
        <v>291</v>
      </c>
      <c r="F28" s="138" t="s">
        <v>291</v>
      </c>
      <c r="G28" s="138" t="s">
        <v>291</v>
      </c>
      <c r="H28" s="138" t="s">
        <v>291</v>
      </c>
      <c r="I28" s="138" t="s">
        <v>291</v>
      </c>
      <c r="J28" s="138" t="s">
        <v>291</v>
      </c>
      <c r="K28" s="138" t="s">
        <v>291</v>
      </c>
      <c r="L28" s="138" t="s">
        <v>291</v>
      </c>
      <c r="M28" s="138" t="s">
        <v>291</v>
      </c>
      <c r="N28" s="138" t="s">
        <v>291</v>
      </c>
      <c r="O28" s="138" t="s">
        <v>291</v>
      </c>
      <c r="P28" s="138" t="s">
        <v>291</v>
      </c>
      <c r="Q28" s="138">
        <v>2463.3000000000002</v>
      </c>
      <c r="R28" s="138" t="s">
        <v>291</v>
      </c>
      <c r="S28" s="138" t="s">
        <v>291</v>
      </c>
      <c r="T28" s="138" t="s">
        <v>291</v>
      </c>
      <c r="U28" s="138" t="s">
        <v>291</v>
      </c>
      <c r="V28" s="138">
        <v>1994</v>
      </c>
      <c r="W28" s="138" t="s">
        <v>291</v>
      </c>
      <c r="X28" s="138">
        <v>2199</v>
      </c>
      <c r="Y28" s="138" t="s">
        <v>291</v>
      </c>
      <c r="Z28" s="138" t="s">
        <v>291</v>
      </c>
      <c r="AA28" s="138" t="s">
        <v>291</v>
      </c>
      <c r="AB28" s="138" t="s">
        <v>291</v>
      </c>
      <c r="AC28" s="138" t="s">
        <v>291</v>
      </c>
      <c r="AD28" s="138" t="s">
        <v>291</v>
      </c>
      <c r="AE28" s="138" t="s">
        <v>291</v>
      </c>
      <c r="AF28" s="138" t="s">
        <v>291</v>
      </c>
      <c r="AG28" s="138" t="s">
        <v>291</v>
      </c>
      <c r="AH28" s="138" t="s">
        <v>291</v>
      </c>
      <c r="AI28" s="138" t="s">
        <v>291</v>
      </c>
      <c r="AJ28" s="138" t="s">
        <v>291</v>
      </c>
      <c r="AK28" s="138" t="s">
        <v>291</v>
      </c>
      <c r="AL28" s="138" t="s">
        <v>291</v>
      </c>
      <c r="AM28" s="149">
        <f t="shared" si="3"/>
        <v>2218.7666666666669</v>
      </c>
      <c r="AN28" s="156">
        <f t="shared" si="2"/>
        <v>2218.7666666666669</v>
      </c>
    </row>
    <row r="29" spans="1:40" x14ac:dyDescent="0.2">
      <c r="A29" s="26">
        <v>25</v>
      </c>
      <c r="B29" s="24" t="s">
        <v>127</v>
      </c>
      <c r="C29" s="33" t="s">
        <v>112</v>
      </c>
      <c r="D29" s="139">
        <v>36</v>
      </c>
      <c r="E29" s="138" t="s">
        <v>291</v>
      </c>
      <c r="F29" s="138" t="s">
        <v>291</v>
      </c>
      <c r="G29" s="138" t="s">
        <v>291</v>
      </c>
      <c r="H29" s="138" t="s">
        <v>291</v>
      </c>
      <c r="I29" s="138" t="s">
        <v>291</v>
      </c>
      <c r="J29" s="138" t="s">
        <v>291</v>
      </c>
      <c r="K29" s="138" t="s">
        <v>291</v>
      </c>
      <c r="L29" s="138" t="s">
        <v>291</v>
      </c>
      <c r="M29" s="138" t="s">
        <v>291</v>
      </c>
      <c r="N29" s="138" t="s">
        <v>291</v>
      </c>
      <c r="O29" s="138" t="s">
        <v>291</v>
      </c>
      <c r="P29" s="138" t="s">
        <v>291</v>
      </c>
      <c r="Q29" s="138">
        <v>58.04</v>
      </c>
      <c r="R29" s="138" t="s">
        <v>291</v>
      </c>
      <c r="S29" s="138" t="s">
        <v>291</v>
      </c>
      <c r="T29" s="138" t="s">
        <v>291</v>
      </c>
      <c r="U29" s="138" t="s">
        <v>291</v>
      </c>
      <c r="V29" s="138">
        <v>61.47</v>
      </c>
      <c r="W29" s="138" t="s">
        <v>291</v>
      </c>
      <c r="X29" s="138">
        <v>75</v>
      </c>
      <c r="Y29" s="138" t="s">
        <v>291</v>
      </c>
      <c r="Z29" s="138" t="s">
        <v>291</v>
      </c>
      <c r="AA29" s="138" t="s">
        <v>291</v>
      </c>
      <c r="AB29" s="138" t="s">
        <v>291</v>
      </c>
      <c r="AC29" s="138" t="s">
        <v>291</v>
      </c>
      <c r="AD29" s="138" t="s">
        <v>291</v>
      </c>
      <c r="AE29" s="138" t="s">
        <v>291</v>
      </c>
      <c r="AF29" s="138" t="s">
        <v>291</v>
      </c>
      <c r="AG29" s="138" t="s">
        <v>291</v>
      </c>
      <c r="AH29" s="138" t="s">
        <v>291</v>
      </c>
      <c r="AI29" s="138" t="s">
        <v>291</v>
      </c>
      <c r="AJ29" s="138" t="s">
        <v>291</v>
      </c>
      <c r="AK29" s="138" t="s">
        <v>291</v>
      </c>
      <c r="AL29" s="138" t="s">
        <v>291</v>
      </c>
      <c r="AM29" s="149">
        <f t="shared" si="3"/>
        <v>64.836666666666659</v>
      </c>
      <c r="AN29" s="156">
        <f t="shared" si="2"/>
        <v>2334.12</v>
      </c>
    </row>
    <row r="30" spans="1:40" x14ac:dyDescent="0.2">
      <c r="A30" s="26">
        <v>26</v>
      </c>
      <c r="B30" s="24" t="s">
        <v>128</v>
      </c>
      <c r="C30" s="33" t="s">
        <v>112</v>
      </c>
      <c r="D30" s="139">
        <v>36</v>
      </c>
      <c r="E30" s="138" t="s">
        <v>291</v>
      </c>
      <c r="F30" s="138" t="s">
        <v>291</v>
      </c>
      <c r="G30" s="138" t="s">
        <v>291</v>
      </c>
      <c r="H30" s="138" t="s">
        <v>291</v>
      </c>
      <c r="I30" s="138" t="s">
        <v>291</v>
      </c>
      <c r="J30" s="138" t="s">
        <v>291</v>
      </c>
      <c r="K30" s="138" t="s">
        <v>291</v>
      </c>
      <c r="L30" s="138" t="s">
        <v>291</v>
      </c>
      <c r="M30" s="138" t="s">
        <v>291</v>
      </c>
      <c r="N30" s="138" t="s">
        <v>291</v>
      </c>
      <c r="O30" s="138" t="s">
        <v>291</v>
      </c>
      <c r="P30" s="138" t="s">
        <v>291</v>
      </c>
      <c r="Q30" s="138" t="s">
        <v>291</v>
      </c>
      <c r="R30" s="138">
        <v>67.72</v>
      </c>
      <c r="S30" s="138" t="s">
        <v>291</v>
      </c>
      <c r="T30" s="138" t="s">
        <v>291</v>
      </c>
      <c r="U30" s="138">
        <v>82.2</v>
      </c>
      <c r="V30" s="138">
        <v>58.88</v>
      </c>
      <c r="W30" s="138" t="s">
        <v>291</v>
      </c>
      <c r="X30" s="138" t="s">
        <v>291</v>
      </c>
      <c r="Y30" s="138" t="s">
        <v>291</v>
      </c>
      <c r="Z30" s="138" t="s">
        <v>291</v>
      </c>
      <c r="AA30" s="138" t="s">
        <v>291</v>
      </c>
      <c r="AB30" s="138" t="s">
        <v>291</v>
      </c>
      <c r="AC30" s="138" t="s">
        <v>291</v>
      </c>
      <c r="AD30" s="138" t="s">
        <v>291</v>
      </c>
      <c r="AE30" s="138" t="s">
        <v>291</v>
      </c>
      <c r="AF30" s="138" t="s">
        <v>291</v>
      </c>
      <c r="AG30" s="138" t="s">
        <v>291</v>
      </c>
      <c r="AH30" s="138" t="s">
        <v>291</v>
      </c>
      <c r="AI30" s="138" t="s">
        <v>291</v>
      </c>
      <c r="AJ30" s="138" t="s">
        <v>291</v>
      </c>
      <c r="AK30" s="138" t="s">
        <v>291</v>
      </c>
      <c r="AL30" s="138" t="s">
        <v>291</v>
      </c>
      <c r="AM30" s="149">
        <f t="shared" si="3"/>
        <v>69.600000000000009</v>
      </c>
      <c r="AN30" s="156">
        <f t="shared" si="2"/>
        <v>2505.6000000000004</v>
      </c>
    </row>
    <row r="31" spans="1:40" x14ac:dyDescent="0.2">
      <c r="A31" s="26">
        <v>27</v>
      </c>
      <c r="B31" s="24" t="s">
        <v>166</v>
      </c>
      <c r="C31" s="33" t="s">
        <v>112</v>
      </c>
      <c r="D31" s="139">
        <v>10</v>
      </c>
      <c r="E31" s="138" t="s">
        <v>291</v>
      </c>
      <c r="F31" s="138" t="s">
        <v>291</v>
      </c>
      <c r="G31" s="138" t="s">
        <v>291</v>
      </c>
      <c r="H31" s="138" t="s">
        <v>291</v>
      </c>
      <c r="I31" s="138" t="s">
        <v>291</v>
      </c>
      <c r="J31" s="138" t="s">
        <v>291</v>
      </c>
      <c r="K31" s="138" t="s">
        <v>291</v>
      </c>
      <c r="L31" s="138" t="s">
        <v>291</v>
      </c>
      <c r="M31" s="138" t="s">
        <v>291</v>
      </c>
      <c r="N31" s="138" t="s">
        <v>291</v>
      </c>
      <c r="O31" s="138" t="s">
        <v>291</v>
      </c>
      <c r="P31" s="138" t="s">
        <v>291</v>
      </c>
      <c r="Q31" s="138" t="s">
        <v>291</v>
      </c>
      <c r="R31" s="138" t="s">
        <v>291</v>
      </c>
      <c r="S31" s="138" t="s">
        <v>291</v>
      </c>
      <c r="T31" s="138" t="s">
        <v>291</v>
      </c>
      <c r="U31" s="138">
        <v>5.3</v>
      </c>
      <c r="V31" s="138">
        <v>7.39</v>
      </c>
      <c r="W31" s="138">
        <v>10.3</v>
      </c>
      <c r="X31" s="138" t="s">
        <v>291</v>
      </c>
      <c r="Y31" s="138" t="s">
        <v>291</v>
      </c>
      <c r="Z31" s="138" t="s">
        <v>291</v>
      </c>
      <c r="AA31" s="138" t="s">
        <v>291</v>
      </c>
      <c r="AB31" s="138" t="s">
        <v>291</v>
      </c>
      <c r="AC31" s="138" t="s">
        <v>291</v>
      </c>
      <c r="AD31" s="138" t="s">
        <v>291</v>
      </c>
      <c r="AE31" s="138" t="s">
        <v>291</v>
      </c>
      <c r="AF31" s="138" t="s">
        <v>291</v>
      </c>
      <c r="AG31" s="138" t="s">
        <v>291</v>
      </c>
      <c r="AH31" s="138" t="s">
        <v>291</v>
      </c>
      <c r="AI31" s="138" t="s">
        <v>291</v>
      </c>
      <c r="AJ31" s="138" t="s">
        <v>291</v>
      </c>
      <c r="AK31" s="138" t="s">
        <v>291</v>
      </c>
      <c r="AL31" s="138" t="s">
        <v>291</v>
      </c>
      <c r="AM31" s="149">
        <f>SUM(U31:W31)/3</f>
        <v>7.663333333333334</v>
      </c>
      <c r="AN31" s="156">
        <f t="shared" si="2"/>
        <v>76.63333333333334</v>
      </c>
    </row>
    <row r="32" spans="1:40" x14ac:dyDescent="0.2">
      <c r="A32" s="26">
        <v>28</v>
      </c>
      <c r="B32" s="24" t="s">
        <v>167</v>
      </c>
      <c r="C32" s="33" t="s">
        <v>112</v>
      </c>
      <c r="D32" s="139">
        <v>30</v>
      </c>
      <c r="E32" s="138" t="s">
        <v>291</v>
      </c>
      <c r="F32" s="138" t="s">
        <v>291</v>
      </c>
      <c r="G32" s="138" t="s">
        <v>291</v>
      </c>
      <c r="H32" s="138" t="s">
        <v>291</v>
      </c>
      <c r="I32" s="138" t="s">
        <v>291</v>
      </c>
      <c r="J32" s="138" t="s">
        <v>291</v>
      </c>
      <c r="K32" s="138" t="s">
        <v>291</v>
      </c>
      <c r="L32" s="138" t="s">
        <v>291</v>
      </c>
      <c r="M32" s="138" t="s">
        <v>291</v>
      </c>
      <c r="N32" s="138" t="s">
        <v>291</v>
      </c>
      <c r="O32" s="138" t="s">
        <v>291</v>
      </c>
      <c r="P32" s="138" t="s">
        <v>291</v>
      </c>
      <c r="Q32" s="138" t="s">
        <v>291</v>
      </c>
      <c r="R32" s="138" t="s">
        <v>291</v>
      </c>
      <c r="S32" s="138" t="s">
        <v>291</v>
      </c>
      <c r="T32" s="138" t="s">
        <v>291</v>
      </c>
      <c r="U32" s="138">
        <v>3.1</v>
      </c>
      <c r="V32" s="138">
        <v>3.97</v>
      </c>
      <c r="W32" s="138">
        <v>3.7</v>
      </c>
      <c r="X32" s="138" t="s">
        <v>291</v>
      </c>
      <c r="Y32" s="138" t="s">
        <v>291</v>
      </c>
      <c r="Z32" s="138" t="s">
        <v>291</v>
      </c>
      <c r="AA32" s="138" t="s">
        <v>291</v>
      </c>
      <c r="AB32" s="138" t="s">
        <v>291</v>
      </c>
      <c r="AC32" s="138" t="s">
        <v>291</v>
      </c>
      <c r="AD32" s="138" t="s">
        <v>291</v>
      </c>
      <c r="AE32" s="138" t="s">
        <v>291</v>
      </c>
      <c r="AF32" s="138" t="s">
        <v>291</v>
      </c>
      <c r="AG32" s="138" t="s">
        <v>291</v>
      </c>
      <c r="AH32" s="138" t="s">
        <v>291</v>
      </c>
      <c r="AI32" s="138" t="s">
        <v>291</v>
      </c>
      <c r="AJ32" s="138" t="s">
        <v>291</v>
      </c>
      <c r="AK32" s="138" t="s">
        <v>291</v>
      </c>
      <c r="AL32" s="138" t="s">
        <v>291</v>
      </c>
      <c r="AM32" s="149">
        <f>SUM(U32:W32)/3</f>
        <v>3.59</v>
      </c>
      <c r="AN32" s="156">
        <f t="shared" si="2"/>
        <v>107.69999999999999</v>
      </c>
    </row>
    <row r="33" spans="1:40" x14ac:dyDescent="0.2">
      <c r="A33" s="26">
        <v>29</v>
      </c>
      <c r="B33" s="24" t="s">
        <v>168</v>
      </c>
      <c r="C33" s="33" t="s">
        <v>112</v>
      </c>
      <c r="D33" s="139">
        <v>10</v>
      </c>
      <c r="E33" s="138" t="s">
        <v>291</v>
      </c>
      <c r="F33" s="138" t="s">
        <v>291</v>
      </c>
      <c r="G33" s="138" t="s">
        <v>291</v>
      </c>
      <c r="H33" s="138" t="s">
        <v>291</v>
      </c>
      <c r="I33" s="138" t="s">
        <v>291</v>
      </c>
      <c r="J33" s="138" t="s">
        <v>291</v>
      </c>
      <c r="K33" s="138" t="s">
        <v>291</v>
      </c>
      <c r="L33" s="138" t="s">
        <v>291</v>
      </c>
      <c r="M33" s="138" t="s">
        <v>291</v>
      </c>
      <c r="N33" s="138" t="s">
        <v>291</v>
      </c>
      <c r="O33" s="138" t="s">
        <v>291</v>
      </c>
      <c r="P33" s="138" t="s">
        <v>291</v>
      </c>
      <c r="Q33" s="138" t="s">
        <v>291</v>
      </c>
      <c r="R33" s="138" t="s">
        <v>291</v>
      </c>
      <c r="S33" s="138" t="s">
        <v>291</v>
      </c>
      <c r="T33" s="138" t="s">
        <v>291</v>
      </c>
      <c r="U33" s="138">
        <v>17.100000000000001</v>
      </c>
      <c r="V33" s="138">
        <v>14.89</v>
      </c>
      <c r="W33" s="138">
        <v>21</v>
      </c>
      <c r="X33" s="138" t="s">
        <v>291</v>
      </c>
      <c r="Y33" s="138" t="s">
        <v>291</v>
      </c>
      <c r="Z33" s="138" t="s">
        <v>291</v>
      </c>
      <c r="AA33" s="138" t="s">
        <v>291</v>
      </c>
      <c r="AB33" s="138" t="s">
        <v>291</v>
      </c>
      <c r="AC33" s="138" t="s">
        <v>291</v>
      </c>
      <c r="AD33" s="138" t="s">
        <v>291</v>
      </c>
      <c r="AE33" s="138" t="s">
        <v>291</v>
      </c>
      <c r="AF33" s="138" t="s">
        <v>291</v>
      </c>
      <c r="AG33" s="138" t="s">
        <v>291</v>
      </c>
      <c r="AH33" s="138" t="s">
        <v>291</v>
      </c>
      <c r="AI33" s="138" t="s">
        <v>291</v>
      </c>
      <c r="AJ33" s="138" t="s">
        <v>291</v>
      </c>
      <c r="AK33" s="138" t="s">
        <v>291</v>
      </c>
      <c r="AL33" s="138" t="s">
        <v>291</v>
      </c>
      <c r="AM33" s="149">
        <f>SUM(U33:W33)/3</f>
        <v>17.663333333333334</v>
      </c>
      <c r="AN33" s="156">
        <f t="shared" si="2"/>
        <v>176.63333333333333</v>
      </c>
    </row>
    <row r="34" spans="1:40" x14ac:dyDescent="0.2">
      <c r="A34" s="26">
        <v>30</v>
      </c>
      <c r="B34" s="24" t="s">
        <v>169</v>
      </c>
      <c r="C34" s="33" t="s">
        <v>112</v>
      </c>
      <c r="D34" s="139">
        <v>30</v>
      </c>
      <c r="E34" s="138" t="s">
        <v>291</v>
      </c>
      <c r="F34" s="138" t="s">
        <v>291</v>
      </c>
      <c r="G34" s="138" t="s">
        <v>291</v>
      </c>
      <c r="H34" s="138" t="s">
        <v>291</v>
      </c>
      <c r="I34" s="138" t="s">
        <v>291</v>
      </c>
      <c r="J34" s="138" t="s">
        <v>291</v>
      </c>
      <c r="K34" s="138" t="s">
        <v>291</v>
      </c>
      <c r="L34" s="138" t="s">
        <v>291</v>
      </c>
      <c r="M34" s="138" t="s">
        <v>291</v>
      </c>
      <c r="N34" s="138" t="s">
        <v>291</v>
      </c>
      <c r="O34" s="138" t="s">
        <v>291</v>
      </c>
      <c r="P34" s="138" t="s">
        <v>291</v>
      </c>
      <c r="Q34" s="138" t="s">
        <v>291</v>
      </c>
      <c r="R34" s="138" t="s">
        <v>291</v>
      </c>
      <c r="S34" s="138" t="s">
        <v>291</v>
      </c>
      <c r="T34" s="138" t="s">
        <v>291</v>
      </c>
      <c r="U34" s="138">
        <v>4.3</v>
      </c>
      <c r="V34" s="138">
        <v>6.89</v>
      </c>
      <c r="W34" s="138">
        <v>6.9</v>
      </c>
      <c r="X34" s="138" t="s">
        <v>291</v>
      </c>
      <c r="Y34" s="138" t="s">
        <v>291</v>
      </c>
      <c r="Z34" s="138" t="s">
        <v>291</v>
      </c>
      <c r="AA34" s="138" t="s">
        <v>291</v>
      </c>
      <c r="AB34" s="138" t="s">
        <v>291</v>
      </c>
      <c r="AC34" s="138" t="s">
        <v>291</v>
      </c>
      <c r="AD34" s="138" t="s">
        <v>291</v>
      </c>
      <c r="AE34" s="138" t="s">
        <v>291</v>
      </c>
      <c r="AF34" s="138" t="s">
        <v>291</v>
      </c>
      <c r="AG34" s="138" t="s">
        <v>291</v>
      </c>
      <c r="AH34" s="138" t="s">
        <v>291</v>
      </c>
      <c r="AI34" s="138" t="s">
        <v>291</v>
      </c>
      <c r="AJ34" s="138" t="s">
        <v>291</v>
      </c>
      <c r="AK34" s="138" t="s">
        <v>291</v>
      </c>
      <c r="AL34" s="138" t="s">
        <v>291</v>
      </c>
      <c r="AM34" s="149">
        <f>SUM(U34:W34)/3</f>
        <v>6.03</v>
      </c>
      <c r="AN34" s="156">
        <f t="shared" si="2"/>
        <v>180.9</v>
      </c>
    </row>
    <row r="35" spans="1:40" x14ac:dyDescent="0.2">
      <c r="A35" s="26">
        <v>31</v>
      </c>
      <c r="B35" s="24" t="s">
        <v>170</v>
      </c>
      <c r="C35" s="33" t="s">
        <v>112</v>
      </c>
      <c r="D35" s="139">
        <v>10</v>
      </c>
      <c r="E35" s="138" t="s">
        <v>291</v>
      </c>
      <c r="F35" s="138" t="s">
        <v>291</v>
      </c>
      <c r="G35" s="138" t="s">
        <v>291</v>
      </c>
      <c r="H35" s="138" t="s">
        <v>291</v>
      </c>
      <c r="I35" s="138" t="s">
        <v>291</v>
      </c>
      <c r="J35" s="138" t="s">
        <v>291</v>
      </c>
      <c r="K35" s="138" t="s">
        <v>291</v>
      </c>
      <c r="L35" s="138" t="s">
        <v>291</v>
      </c>
      <c r="M35" s="138" t="s">
        <v>291</v>
      </c>
      <c r="N35" s="138" t="s">
        <v>291</v>
      </c>
      <c r="O35" s="138" t="s">
        <v>291</v>
      </c>
      <c r="P35" s="138" t="s">
        <v>291</v>
      </c>
      <c r="Q35" s="138" t="s">
        <v>291</v>
      </c>
      <c r="R35" s="138" t="s">
        <v>291</v>
      </c>
      <c r="S35" s="138" t="s">
        <v>291</v>
      </c>
      <c r="T35" s="138" t="s">
        <v>291</v>
      </c>
      <c r="U35" s="138">
        <v>6.3</v>
      </c>
      <c r="V35" s="138">
        <v>9.56</v>
      </c>
      <c r="W35" s="138">
        <v>13.4</v>
      </c>
      <c r="X35" s="138" t="s">
        <v>291</v>
      </c>
      <c r="Y35" s="138" t="s">
        <v>291</v>
      </c>
      <c r="Z35" s="138" t="s">
        <v>291</v>
      </c>
      <c r="AA35" s="138" t="s">
        <v>291</v>
      </c>
      <c r="AB35" s="138" t="s">
        <v>291</v>
      </c>
      <c r="AC35" s="138" t="s">
        <v>291</v>
      </c>
      <c r="AD35" s="138" t="s">
        <v>291</v>
      </c>
      <c r="AE35" s="138" t="s">
        <v>291</v>
      </c>
      <c r="AF35" s="138" t="s">
        <v>291</v>
      </c>
      <c r="AG35" s="138" t="s">
        <v>291</v>
      </c>
      <c r="AH35" s="138" t="s">
        <v>291</v>
      </c>
      <c r="AI35" s="138" t="s">
        <v>291</v>
      </c>
      <c r="AJ35" s="138" t="s">
        <v>291</v>
      </c>
      <c r="AK35" s="138" t="s">
        <v>291</v>
      </c>
      <c r="AL35" s="138" t="s">
        <v>291</v>
      </c>
      <c r="AM35" s="149">
        <f>SUM(U35:W35)/3</f>
        <v>9.7533333333333321</v>
      </c>
      <c r="AN35" s="156">
        <f t="shared" si="2"/>
        <v>97.533333333333317</v>
      </c>
    </row>
    <row r="36" spans="1:40" x14ac:dyDescent="0.2">
      <c r="A36" s="26">
        <v>32</v>
      </c>
      <c r="B36" s="24" t="s">
        <v>500</v>
      </c>
      <c r="C36" s="33" t="s">
        <v>112</v>
      </c>
      <c r="D36" s="139">
        <v>12</v>
      </c>
      <c r="E36" s="138" t="s">
        <v>291</v>
      </c>
      <c r="F36" s="138" t="s">
        <v>291</v>
      </c>
      <c r="G36" s="138" t="s">
        <v>291</v>
      </c>
      <c r="H36" s="138" t="s">
        <v>291</v>
      </c>
      <c r="I36" s="138" t="s">
        <v>291</v>
      </c>
      <c r="J36" s="138" t="s">
        <v>291</v>
      </c>
      <c r="K36" s="138" t="s">
        <v>291</v>
      </c>
      <c r="L36" s="138" t="s">
        <v>291</v>
      </c>
      <c r="M36" s="138" t="s">
        <v>291</v>
      </c>
      <c r="N36" s="138" t="s">
        <v>291</v>
      </c>
      <c r="O36" s="138" t="s">
        <v>291</v>
      </c>
      <c r="P36" s="138" t="s">
        <v>291</v>
      </c>
      <c r="Q36" s="138">
        <v>32.799999999999997</v>
      </c>
      <c r="R36" s="138" t="s">
        <v>291</v>
      </c>
      <c r="S36" s="138" t="s">
        <v>291</v>
      </c>
      <c r="T36" s="138" t="s">
        <v>291</v>
      </c>
      <c r="U36" s="138">
        <v>41.9</v>
      </c>
      <c r="V36" s="138" t="s">
        <v>291</v>
      </c>
      <c r="W36" s="138">
        <v>34.36</v>
      </c>
      <c r="X36" s="138" t="s">
        <v>291</v>
      </c>
      <c r="Y36" s="138" t="s">
        <v>291</v>
      </c>
      <c r="Z36" s="138" t="s">
        <v>291</v>
      </c>
      <c r="AA36" s="138" t="s">
        <v>291</v>
      </c>
      <c r="AB36" s="138" t="s">
        <v>291</v>
      </c>
      <c r="AC36" s="138" t="s">
        <v>291</v>
      </c>
      <c r="AD36" s="138" t="s">
        <v>291</v>
      </c>
      <c r="AE36" s="138" t="s">
        <v>291</v>
      </c>
      <c r="AF36" s="138" t="s">
        <v>291</v>
      </c>
      <c r="AG36" s="138" t="s">
        <v>291</v>
      </c>
      <c r="AH36" s="138" t="s">
        <v>291</v>
      </c>
      <c r="AI36" s="138" t="s">
        <v>291</v>
      </c>
      <c r="AJ36" s="138" t="s">
        <v>291</v>
      </c>
      <c r="AK36" s="138" t="s">
        <v>291</v>
      </c>
      <c r="AL36" s="138" t="s">
        <v>291</v>
      </c>
      <c r="AM36" s="149">
        <f>SUM(E36:AL36)/3</f>
        <v>36.353333333333332</v>
      </c>
      <c r="AN36" s="156">
        <f t="shared" si="2"/>
        <v>436.24</v>
      </c>
    </row>
    <row r="37" spans="1:40" x14ac:dyDescent="0.2">
      <c r="A37" s="26">
        <v>33</v>
      </c>
      <c r="B37" s="24" t="s">
        <v>501</v>
      </c>
      <c r="C37" s="33" t="s">
        <v>112</v>
      </c>
      <c r="D37" s="139">
        <v>12</v>
      </c>
      <c r="E37" s="138" t="s">
        <v>291</v>
      </c>
      <c r="F37" s="138" t="s">
        <v>291</v>
      </c>
      <c r="G37" s="138" t="s">
        <v>291</v>
      </c>
      <c r="H37" s="138" t="s">
        <v>291</v>
      </c>
      <c r="I37" s="138" t="s">
        <v>291</v>
      </c>
      <c r="J37" s="138" t="s">
        <v>291</v>
      </c>
      <c r="K37" s="138" t="s">
        <v>291</v>
      </c>
      <c r="L37" s="138" t="s">
        <v>291</v>
      </c>
      <c r="M37" s="138" t="s">
        <v>291</v>
      </c>
      <c r="N37" s="138" t="s">
        <v>291</v>
      </c>
      <c r="O37" s="138" t="s">
        <v>291</v>
      </c>
      <c r="P37" s="138" t="s">
        <v>291</v>
      </c>
      <c r="Q37" s="138">
        <v>36</v>
      </c>
      <c r="R37" s="138" t="s">
        <v>291</v>
      </c>
      <c r="S37" s="138" t="s">
        <v>291</v>
      </c>
      <c r="T37" s="138" t="s">
        <v>291</v>
      </c>
      <c r="U37" s="138">
        <v>48.6</v>
      </c>
      <c r="V37" s="138" t="s">
        <v>291</v>
      </c>
      <c r="W37" s="138">
        <v>40.75</v>
      </c>
      <c r="X37" s="138" t="s">
        <v>291</v>
      </c>
      <c r="Y37" s="138" t="s">
        <v>291</v>
      </c>
      <c r="Z37" s="138" t="s">
        <v>291</v>
      </c>
      <c r="AA37" s="138" t="s">
        <v>291</v>
      </c>
      <c r="AB37" s="138" t="s">
        <v>291</v>
      </c>
      <c r="AC37" s="138" t="s">
        <v>291</v>
      </c>
      <c r="AD37" s="138" t="s">
        <v>291</v>
      </c>
      <c r="AE37" s="138" t="s">
        <v>291</v>
      </c>
      <c r="AF37" s="138" t="s">
        <v>291</v>
      </c>
      <c r="AG37" s="138" t="s">
        <v>291</v>
      </c>
      <c r="AH37" s="138" t="s">
        <v>291</v>
      </c>
      <c r="AI37" s="138" t="s">
        <v>291</v>
      </c>
      <c r="AJ37" s="138" t="s">
        <v>291</v>
      </c>
      <c r="AK37" s="138" t="s">
        <v>291</v>
      </c>
      <c r="AL37" s="138" t="s">
        <v>291</v>
      </c>
      <c r="AM37" s="149">
        <f>SUM(E37:AL37)/3</f>
        <v>41.783333333333331</v>
      </c>
      <c r="AN37" s="156">
        <f t="shared" si="2"/>
        <v>501.4</v>
      </c>
    </row>
    <row r="38" spans="1:40" x14ac:dyDescent="0.2">
      <c r="A38" s="26">
        <v>34</v>
      </c>
      <c r="B38" s="24" t="s">
        <v>502</v>
      </c>
      <c r="C38" s="33" t="s">
        <v>112</v>
      </c>
      <c r="D38" s="139">
        <v>12</v>
      </c>
      <c r="E38" s="138" t="s">
        <v>291</v>
      </c>
      <c r="F38" s="138" t="s">
        <v>291</v>
      </c>
      <c r="G38" s="138" t="s">
        <v>291</v>
      </c>
      <c r="H38" s="138" t="s">
        <v>291</v>
      </c>
      <c r="I38" s="138" t="s">
        <v>291</v>
      </c>
      <c r="J38" s="138" t="s">
        <v>291</v>
      </c>
      <c r="K38" s="138" t="s">
        <v>291</v>
      </c>
      <c r="L38" s="138" t="s">
        <v>291</v>
      </c>
      <c r="M38" s="138" t="s">
        <v>291</v>
      </c>
      <c r="N38" s="138" t="s">
        <v>291</v>
      </c>
      <c r="O38" s="138" t="s">
        <v>291</v>
      </c>
      <c r="P38" s="138" t="s">
        <v>291</v>
      </c>
      <c r="Q38" s="138">
        <v>50.4</v>
      </c>
      <c r="R38" s="138" t="s">
        <v>291</v>
      </c>
      <c r="S38" s="138" t="s">
        <v>291</v>
      </c>
      <c r="T38" s="138" t="s">
        <v>291</v>
      </c>
      <c r="U38" s="138">
        <v>55.68</v>
      </c>
      <c r="V38" s="138" t="s">
        <v>291</v>
      </c>
      <c r="W38" s="138">
        <v>58.69</v>
      </c>
      <c r="X38" s="138" t="s">
        <v>291</v>
      </c>
      <c r="Y38" s="138" t="s">
        <v>291</v>
      </c>
      <c r="Z38" s="138" t="s">
        <v>291</v>
      </c>
      <c r="AA38" s="138" t="s">
        <v>291</v>
      </c>
      <c r="AB38" s="138" t="s">
        <v>291</v>
      </c>
      <c r="AC38" s="138" t="s">
        <v>291</v>
      </c>
      <c r="AD38" s="138" t="s">
        <v>291</v>
      </c>
      <c r="AE38" s="138" t="s">
        <v>291</v>
      </c>
      <c r="AF38" s="138" t="s">
        <v>291</v>
      </c>
      <c r="AG38" s="138" t="s">
        <v>291</v>
      </c>
      <c r="AH38" s="138" t="s">
        <v>291</v>
      </c>
      <c r="AI38" s="138" t="s">
        <v>291</v>
      </c>
      <c r="AJ38" s="138" t="s">
        <v>291</v>
      </c>
      <c r="AK38" s="138" t="s">
        <v>291</v>
      </c>
      <c r="AL38" s="138" t="s">
        <v>291</v>
      </c>
      <c r="AM38" s="149">
        <f>SUM(E38:AL38)/3</f>
        <v>54.923333333333325</v>
      </c>
      <c r="AN38" s="156">
        <f t="shared" si="2"/>
        <v>659.07999999999993</v>
      </c>
    </row>
    <row r="39" spans="1:40" x14ac:dyDescent="0.2">
      <c r="A39" s="26">
        <v>35</v>
      </c>
      <c r="B39" s="24" t="s">
        <v>503</v>
      </c>
      <c r="C39" s="33" t="s">
        <v>112</v>
      </c>
      <c r="D39" s="139">
        <v>12</v>
      </c>
      <c r="E39" s="138" t="s">
        <v>291</v>
      </c>
      <c r="F39" s="138" t="s">
        <v>291</v>
      </c>
      <c r="G39" s="138" t="s">
        <v>291</v>
      </c>
      <c r="H39" s="138" t="s">
        <v>291</v>
      </c>
      <c r="I39" s="138" t="s">
        <v>291</v>
      </c>
      <c r="J39" s="138" t="s">
        <v>291</v>
      </c>
      <c r="K39" s="138" t="s">
        <v>291</v>
      </c>
      <c r="L39" s="138" t="s">
        <v>291</v>
      </c>
      <c r="M39" s="138" t="s">
        <v>291</v>
      </c>
      <c r="N39" s="138" t="s">
        <v>291</v>
      </c>
      <c r="O39" s="138" t="s">
        <v>291</v>
      </c>
      <c r="P39" s="138" t="s">
        <v>291</v>
      </c>
      <c r="Q39" s="138">
        <v>89.1</v>
      </c>
      <c r="R39" s="138" t="s">
        <v>291</v>
      </c>
      <c r="S39" s="138" t="s">
        <v>291</v>
      </c>
      <c r="T39" s="138" t="s">
        <v>291</v>
      </c>
      <c r="U39" s="138" t="s">
        <v>291</v>
      </c>
      <c r="V39" s="138">
        <v>87.36</v>
      </c>
      <c r="W39" s="138">
        <v>86.26</v>
      </c>
      <c r="X39" s="138" t="s">
        <v>291</v>
      </c>
      <c r="Y39" s="138" t="s">
        <v>291</v>
      </c>
      <c r="Z39" s="138" t="s">
        <v>291</v>
      </c>
      <c r="AA39" s="138" t="s">
        <v>291</v>
      </c>
      <c r="AB39" s="138" t="s">
        <v>291</v>
      </c>
      <c r="AC39" s="138" t="s">
        <v>291</v>
      </c>
      <c r="AD39" s="138" t="s">
        <v>291</v>
      </c>
      <c r="AE39" s="138" t="s">
        <v>291</v>
      </c>
      <c r="AF39" s="138" t="s">
        <v>291</v>
      </c>
      <c r="AG39" s="138" t="s">
        <v>291</v>
      </c>
      <c r="AH39" s="138" t="s">
        <v>291</v>
      </c>
      <c r="AI39" s="138" t="s">
        <v>291</v>
      </c>
      <c r="AJ39" s="138" t="s">
        <v>291</v>
      </c>
      <c r="AK39" s="138" t="s">
        <v>291</v>
      </c>
      <c r="AL39" s="138" t="s">
        <v>291</v>
      </c>
      <c r="AM39" s="149">
        <f>SUM(E39:AL39)/3</f>
        <v>87.573333333333323</v>
      </c>
      <c r="AN39" s="156">
        <f t="shared" si="2"/>
        <v>1050.8799999999999</v>
      </c>
    </row>
    <row r="40" spans="1:40" ht="33.75" customHeight="1" x14ac:dyDescent="0.2">
      <c r="A40" s="366" t="s">
        <v>317</v>
      </c>
      <c r="B40" s="367"/>
      <c r="C40" s="367"/>
      <c r="D40" s="368"/>
      <c r="E40" s="358"/>
      <c r="F40" s="359"/>
      <c r="G40" s="359"/>
      <c r="H40" s="359"/>
      <c r="I40" s="359"/>
      <c r="J40" s="359"/>
      <c r="K40" s="359"/>
      <c r="L40" s="359"/>
      <c r="M40" s="359"/>
      <c r="N40" s="359"/>
      <c r="O40" s="359"/>
      <c r="P40" s="359"/>
      <c r="Q40" s="359"/>
      <c r="R40" s="359"/>
      <c r="S40" s="359"/>
      <c r="T40" s="359"/>
      <c r="U40" s="359"/>
      <c r="V40" s="359"/>
      <c r="W40" s="359"/>
      <c r="X40" s="359"/>
      <c r="Y40" s="359"/>
      <c r="Z40" s="359"/>
      <c r="AA40" s="359"/>
      <c r="AB40" s="359"/>
      <c r="AC40" s="359"/>
      <c r="AD40" s="359"/>
      <c r="AE40" s="359"/>
      <c r="AF40" s="359"/>
      <c r="AG40" s="359"/>
      <c r="AH40" s="359"/>
      <c r="AI40" s="359"/>
      <c r="AJ40" s="359"/>
      <c r="AK40" s="359"/>
      <c r="AL40" s="360"/>
      <c r="AM40" s="150"/>
      <c r="AN40" s="156"/>
    </row>
    <row r="41" spans="1:40" x14ac:dyDescent="0.2">
      <c r="A41" s="26">
        <v>36</v>
      </c>
      <c r="B41" s="24" t="s">
        <v>133</v>
      </c>
      <c r="C41" s="33" t="s">
        <v>112</v>
      </c>
      <c r="D41" s="139">
        <v>40</v>
      </c>
      <c r="E41" s="138" t="s">
        <v>291</v>
      </c>
      <c r="F41" s="138" t="s">
        <v>291</v>
      </c>
      <c r="G41" s="138" t="s">
        <v>291</v>
      </c>
      <c r="H41" s="138" t="s">
        <v>291</v>
      </c>
      <c r="I41" s="138" t="s">
        <v>291</v>
      </c>
      <c r="J41" s="138" t="s">
        <v>291</v>
      </c>
      <c r="K41" s="138" t="s">
        <v>291</v>
      </c>
      <c r="L41" s="138" t="s">
        <v>291</v>
      </c>
      <c r="M41" s="138" t="s">
        <v>291</v>
      </c>
      <c r="N41" s="138">
        <v>31.45</v>
      </c>
      <c r="O41" s="138" t="s">
        <v>291</v>
      </c>
      <c r="P41" s="138" t="s">
        <v>291</v>
      </c>
      <c r="Q41" s="138" t="s">
        <v>291</v>
      </c>
      <c r="R41" s="138" t="s">
        <v>291</v>
      </c>
      <c r="S41" s="138" t="s">
        <v>291</v>
      </c>
      <c r="T41" s="138" t="s">
        <v>291</v>
      </c>
      <c r="U41" s="138" t="s">
        <v>291</v>
      </c>
      <c r="V41" s="138" t="s">
        <v>291</v>
      </c>
      <c r="W41" s="138" t="s">
        <v>291</v>
      </c>
      <c r="X41" s="138" t="s">
        <v>291</v>
      </c>
      <c r="Y41" s="138" t="s">
        <v>291</v>
      </c>
      <c r="Z41" s="138">
        <v>28.83</v>
      </c>
      <c r="AA41" s="138" t="s">
        <v>291</v>
      </c>
      <c r="AB41" s="138" t="s">
        <v>291</v>
      </c>
      <c r="AC41" s="138" t="s">
        <v>291</v>
      </c>
      <c r="AD41" s="138">
        <v>21.3</v>
      </c>
      <c r="AE41" s="138" t="s">
        <v>291</v>
      </c>
      <c r="AF41" s="138" t="s">
        <v>291</v>
      </c>
      <c r="AG41" s="138" t="s">
        <v>291</v>
      </c>
      <c r="AH41" s="138" t="s">
        <v>291</v>
      </c>
      <c r="AI41" s="138" t="s">
        <v>291</v>
      </c>
      <c r="AJ41" s="138" t="s">
        <v>291</v>
      </c>
      <c r="AK41" s="138" t="s">
        <v>291</v>
      </c>
      <c r="AL41" s="138" t="s">
        <v>291</v>
      </c>
      <c r="AM41" s="149">
        <f>SUM(H41:AL41)/3</f>
        <v>27.193333333333332</v>
      </c>
      <c r="AN41" s="156">
        <f>AM41*D41</f>
        <v>1087.7333333333333</v>
      </c>
    </row>
    <row r="42" spans="1:40" x14ac:dyDescent="0.2">
      <c r="A42" s="26">
        <v>37</v>
      </c>
      <c r="B42" s="24" t="s">
        <v>528</v>
      </c>
      <c r="C42" s="33" t="s">
        <v>112</v>
      </c>
      <c r="D42" s="139">
        <v>20</v>
      </c>
      <c r="E42" s="138">
        <v>39</v>
      </c>
      <c r="F42" s="138" t="s">
        <v>291</v>
      </c>
      <c r="G42" s="138" t="s">
        <v>291</v>
      </c>
      <c r="H42" s="138" t="s">
        <v>291</v>
      </c>
      <c r="I42" s="138" t="s">
        <v>291</v>
      </c>
      <c r="J42" s="138" t="s">
        <v>291</v>
      </c>
      <c r="K42" s="138" t="s">
        <v>291</v>
      </c>
      <c r="L42" s="138" t="s">
        <v>291</v>
      </c>
      <c r="M42" s="138" t="s">
        <v>291</v>
      </c>
      <c r="N42" s="138" t="s">
        <v>291</v>
      </c>
      <c r="O42" s="138" t="s">
        <v>291</v>
      </c>
      <c r="P42" s="138" t="s">
        <v>291</v>
      </c>
      <c r="Q42" s="138" t="s">
        <v>291</v>
      </c>
      <c r="R42" s="138" t="s">
        <v>291</v>
      </c>
      <c r="S42" s="138" t="s">
        <v>291</v>
      </c>
      <c r="T42" s="138" t="s">
        <v>291</v>
      </c>
      <c r="U42" s="138" t="s">
        <v>291</v>
      </c>
      <c r="V42" s="138" t="s">
        <v>291</v>
      </c>
      <c r="W42" s="138" t="s">
        <v>291</v>
      </c>
      <c r="X42" s="138" t="s">
        <v>291</v>
      </c>
      <c r="Y42" s="138" t="s">
        <v>291</v>
      </c>
      <c r="Z42" s="138" t="s">
        <v>291</v>
      </c>
      <c r="AA42" s="138" t="s">
        <v>291</v>
      </c>
      <c r="AB42" s="138" t="s">
        <v>291</v>
      </c>
      <c r="AC42" s="138">
        <v>8.8800000000000008</v>
      </c>
      <c r="AD42" s="138">
        <v>16.100000000000001</v>
      </c>
      <c r="AE42" s="138" t="s">
        <v>291</v>
      </c>
      <c r="AF42" s="138" t="s">
        <v>291</v>
      </c>
      <c r="AG42" s="138" t="s">
        <v>291</v>
      </c>
      <c r="AH42" s="138" t="s">
        <v>291</v>
      </c>
      <c r="AI42" s="138" t="s">
        <v>291</v>
      </c>
      <c r="AJ42" s="138" t="s">
        <v>291</v>
      </c>
      <c r="AK42" s="138" t="s">
        <v>291</v>
      </c>
      <c r="AL42" s="138" t="s">
        <v>291</v>
      </c>
      <c r="AM42" s="149">
        <f>SUM(E42:AL42)/3</f>
        <v>21.326666666666668</v>
      </c>
      <c r="AN42" s="156">
        <f>AM42*D42</f>
        <v>426.53333333333336</v>
      </c>
    </row>
    <row r="43" spans="1:40" x14ac:dyDescent="0.2">
      <c r="A43" s="26">
        <v>38</v>
      </c>
      <c r="B43" s="24" t="s">
        <v>140</v>
      </c>
      <c r="C43" s="33" t="s">
        <v>141</v>
      </c>
      <c r="D43" s="139">
        <v>20</v>
      </c>
      <c r="E43" s="138">
        <v>59.11</v>
      </c>
      <c r="F43" s="138" t="s">
        <v>291</v>
      </c>
      <c r="G43" s="138" t="s">
        <v>291</v>
      </c>
      <c r="H43" s="138" t="s">
        <v>291</v>
      </c>
      <c r="I43" s="138" t="s">
        <v>291</v>
      </c>
      <c r="J43" s="138" t="s">
        <v>291</v>
      </c>
      <c r="K43" s="138" t="s">
        <v>291</v>
      </c>
      <c r="L43" s="138" t="s">
        <v>291</v>
      </c>
      <c r="M43" s="138" t="s">
        <v>291</v>
      </c>
      <c r="N43" s="138" t="s">
        <v>291</v>
      </c>
      <c r="O43" s="138" t="s">
        <v>291</v>
      </c>
      <c r="P43" s="138" t="s">
        <v>291</v>
      </c>
      <c r="Q43" s="138" t="s">
        <v>291</v>
      </c>
      <c r="R43" s="138" t="s">
        <v>291</v>
      </c>
      <c r="S43" s="138" t="s">
        <v>291</v>
      </c>
      <c r="T43" s="138" t="s">
        <v>291</v>
      </c>
      <c r="U43" s="138" t="s">
        <v>291</v>
      </c>
      <c r="V43" s="138" t="s">
        <v>291</v>
      </c>
      <c r="W43" s="138" t="s">
        <v>291</v>
      </c>
      <c r="X43" s="138" t="s">
        <v>291</v>
      </c>
      <c r="Y43" s="138" t="s">
        <v>291</v>
      </c>
      <c r="Z43" s="138" t="s">
        <v>291</v>
      </c>
      <c r="AA43" s="138" t="s">
        <v>291</v>
      </c>
      <c r="AB43" s="138" t="s">
        <v>291</v>
      </c>
      <c r="AC43" s="138" t="s">
        <v>291</v>
      </c>
      <c r="AD43" s="138" t="s">
        <v>291</v>
      </c>
      <c r="AE43" s="138" t="s">
        <v>291</v>
      </c>
      <c r="AF43" s="138" t="s">
        <v>291</v>
      </c>
      <c r="AG43" s="138" t="s">
        <v>291</v>
      </c>
      <c r="AH43" s="138" t="s">
        <v>291</v>
      </c>
      <c r="AI43" s="138" t="s">
        <v>291</v>
      </c>
      <c r="AJ43" s="138" t="s">
        <v>291</v>
      </c>
      <c r="AK43" s="138" t="s">
        <v>291</v>
      </c>
      <c r="AL43" s="138" t="s">
        <v>291</v>
      </c>
      <c r="AM43" s="149">
        <v>59.11</v>
      </c>
      <c r="AN43" s="156">
        <f t="shared" ref="AN43:AN50" si="4">AM43*D43</f>
        <v>1182.2</v>
      </c>
    </row>
    <row r="44" spans="1:40" x14ac:dyDescent="0.2">
      <c r="A44" s="26">
        <v>39</v>
      </c>
      <c r="B44" s="24" t="s">
        <v>529</v>
      </c>
      <c r="C44" s="33" t="s">
        <v>112</v>
      </c>
      <c r="D44" s="139">
        <v>300</v>
      </c>
      <c r="E44" s="138" t="s">
        <v>291</v>
      </c>
      <c r="F44" s="138" t="s">
        <v>291</v>
      </c>
      <c r="G44" s="138" t="s">
        <v>291</v>
      </c>
      <c r="H44" s="138" t="s">
        <v>291</v>
      </c>
      <c r="I44" s="138" t="s">
        <v>291</v>
      </c>
      <c r="J44" s="138" t="s">
        <v>291</v>
      </c>
      <c r="K44" s="138" t="s">
        <v>291</v>
      </c>
      <c r="L44" s="138" t="s">
        <v>291</v>
      </c>
      <c r="M44" s="138" t="s">
        <v>291</v>
      </c>
      <c r="N44" s="138" t="s">
        <v>291</v>
      </c>
      <c r="O44" s="138" t="s">
        <v>291</v>
      </c>
      <c r="P44" s="138" t="s">
        <v>291</v>
      </c>
      <c r="Q44" s="138" t="s">
        <v>291</v>
      </c>
      <c r="R44" s="138" t="s">
        <v>291</v>
      </c>
      <c r="S44" s="138" t="s">
        <v>291</v>
      </c>
      <c r="T44" s="138" t="s">
        <v>291</v>
      </c>
      <c r="U44" s="138" t="s">
        <v>291</v>
      </c>
      <c r="V44" s="138">
        <v>4.03</v>
      </c>
      <c r="W44" s="138" t="s">
        <v>291</v>
      </c>
      <c r="X44" s="138" t="s">
        <v>291</v>
      </c>
      <c r="Y44" s="138">
        <v>2.99</v>
      </c>
      <c r="Z44" s="138" t="s">
        <v>291</v>
      </c>
      <c r="AA44" s="138" t="s">
        <v>291</v>
      </c>
      <c r="AB44" s="138" t="s">
        <v>291</v>
      </c>
      <c r="AC44" s="138" t="s">
        <v>291</v>
      </c>
      <c r="AD44" s="138">
        <v>3.61</v>
      </c>
      <c r="AE44" s="138" t="s">
        <v>291</v>
      </c>
      <c r="AF44" s="138" t="s">
        <v>291</v>
      </c>
      <c r="AG44" s="138" t="s">
        <v>291</v>
      </c>
      <c r="AH44" s="138" t="s">
        <v>291</v>
      </c>
      <c r="AI44" s="138" t="s">
        <v>291</v>
      </c>
      <c r="AJ44" s="138" t="s">
        <v>291</v>
      </c>
      <c r="AK44" s="138" t="s">
        <v>291</v>
      </c>
      <c r="AL44" s="138" t="s">
        <v>291</v>
      </c>
      <c r="AM44" s="149">
        <f>SUM(N44:AL44)/3</f>
        <v>3.5433333333333334</v>
      </c>
      <c r="AN44" s="156">
        <f t="shared" si="4"/>
        <v>1063</v>
      </c>
    </row>
    <row r="45" spans="1:40" x14ac:dyDescent="0.2">
      <c r="A45" s="26">
        <v>40</v>
      </c>
      <c r="B45" s="24" t="s">
        <v>148</v>
      </c>
      <c r="C45" s="33" t="s">
        <v>112</v>
      </c>
      <c r="D45" s="139">
        <v>12</v>
      </c>
      <c r="E45" s="138" t="s">
        <v>291</v>
      </c>
      <c r="F45" s="138" t="s">
        <v>291</v>
      </c>
      <c r="G45" s="138" t="s">
        <v>291</v>
      </c>
      <c r="H45" s="138" t="s">
        <v>291</v>
      </c>
      <c r="I45" s="138" t="s">
        <v>291</v>
      </c>
      <c r="J45" s="138" t="s">
        <v>291</v>
      </c>
      <c r="K45" s="138" t="s">
        <v>291</v>
      </c>
      <c r="L45" s="138" t="s">
        <v>291</v>
      </c>
      <c r="M45" s="138" t="s">
        <v>291</v>
      </c>
      <c r="N45" s="138" t="s">
        <v>291</v>
      </c>
      <c r="O45" s="138" t="s">
        <v>291</v>
      </c>
      <c r="P45" s="138" t="s">
        <v>291</v>
      </c>
      <c r="Q45" s="138">
        <v>3.01</v>
      </c>
      <c r="R45" s="138" t="s">
        <v>291</v>
      </c>
      <c r="S45" s="139" t="s">
        <v>291</v>
      </c>
      <c r="T45" s="139" t="s">
        <v>291</v>
      </c>
      <c r="U45" s="138" t="s">
        <v>291</v>
      </c>
      <c r="V45" s="138" t="s">
        <v>291</v>
      </c>
      <c r="W45" s="138">
        <v>3.85</v>
      </c>
      <c r="X45" s="138">
        <v>3.1</v>
      </c>
      <c r="Y45" s="139" t="s">
        <v>291</v>
      </c>
      <c r="Z45" s="139" t="s">
        <v>291</v>
      </c>
      <c r="AA45" s="139" t="s">
        <v>291</v>
      </c>
      <c r="AB45" s="139" t="s">
        <v>291</v>
      </c>
      <c r="AC45" s="138" t="s">
        <v>291</v>
      </c>
      <c r="AD45" s="138" t="s">
        <v>291</v>
      </c>
      <c r="AE45" s="138" t="s">
        <v>291</v>
      </c>
      <c r="AF45" s="138" t="s">
        <v>291</v>
      </c>
      <c r="AG45" s="138" t="s">
        <v>291</v>
      </c>
      <c r="AH45" s="138" t="s">
        <v>291</v>
      </c>
      <c r="AI45" s="138" t="s">
        <v>291</v>
      </c>
      <c r="AJ45" s="138" t="s">
        <v>291</v>
      </c>
      <c r="AK45" s="138" t="s">
        <v>291</v>
      </c>
      <c r="AL45" s="138" t="s">
        <v>291</v>
      </c>
      <c r="AM45" s="149">
        <f>SUM(Q45:X45)/3</f>
        <v>3.32</v>
      </c>
      <c r="AN45" s="156">
        <f t="shared" si="4"/>
        <v>39.839999999999996</v>
      </c>
    </row>
    <row r="46" spans="1:40" x14ac:dyDescent="0.2">
      <c r="A46" s="26">
        <v>41</v>
      </c>
      <c r="B46" s="24" t="s">
        <v>149</v>
      </c>
      <c r="C46" s="33" t="s">
        <v>112</v>
      </c>
      <c r="D46" s="139">
        <v>12</v>
      </c>
      <c r="E46" s="138" t="s">
        <v>291</v>
      </c>
      <c r="F46" s="138" t="s">
        <v>291</v>
      </c>
      <c r="G46" s="138" t="s">
        <v>291</v>
      </c>
      <c r="H46" s="138" t="s">
        <v>291</v>
      </c>
      <c r="I46" s="138" t="s">
        <v>291</v>
      </c>
      <c r="J46" s="138" t="s">
        <v>291</v>
      </c>
      <c r="K46" s="138" t="s">
        <v>291</v>
      </c>
      <c r="L46" s="138" t="s">
        <v>291</v>
      </c>
      <c r="M46" s="138" t="s">
        <v>291</v>
      </c>
      <c r="N46" s="138" t="s">
        <v>291</v>
      </c>
      <c r="O46" s="138" t="s">
        <v>291</v>
      </c>
      <c r="P46" s="138" t="s">
        <v>291</v>
      </c>
      <c r="Q46" s="138">
        <v>5.28</v>
      </c>
      <c r="R46" s="138" t="s">
        <v>291</v>
      </c>
      <c r="S46" s="139" t="s">
        <v>291</v>
      </c>
      <c r="T46" s="139" t="s">
        <v>291</v>
      </c>
      <c r="U46" s="138" t="s">
        <v>291</v>
      </c>
      <c r="V46" s="138" t="s">
        <v>291</v>
      </c>
      <c r="W46" s="138">
        <v>5.35</v>
      </c>
      <c r="X46" s="138">
        <v>5.4</v>
      </c>
      <c r="Y46" s="139" t="s">
        <v>291</v>
      </c>
      <c r="Z46" s="139" t="s">
        <v>291</v>
      </c>
      <c r="AA46" s="139" t="s">
        <v>291</v>
      </c>
      <c r="AB46" s="139" t="s">
        <v>291</v>
      </c>
      <c r="AC46" s="138" t="s">
        <v>291</v>
      </c>
      <c r="AD46" s="138" t="s">
        <v>291</v>
      </c>
      <c r="AE46" s="138" t="s">
        <v>291</v>
      </c>
      <c r="AF46" s="138" t="s">
        <v>291</v>
      </c>
      <c r="AG46" s="138" t="s">
        <v>291</v>
      </c>
      <c r="AH46" s="138" t="s">
        <v>291</v>
      </c>
      <c r="AI46" s="138" t="s">
        <v>291</v>
      </c>
      <c r="AJ46" s="138" t="s">
        <v>291</v>
      </c>
      <c r="AK46" s="138" t="s">
        <v>291</v>
      </c>
      <c r="AL46" s="138" t="s">
        <v>291</v>
      </c>
      <c r="AM46" s="149">
        <f>SUM(Q46:X46)/3</f>
        <v>5.3433333333333337</v>
      </c>
      <c r="AN46" s="156">
        <f t="shared" si="4"/>
        <v>64.12</v>
      </c>
    </row>
    <row r="47" spans="1:40" x14ac:dyDescent="0.2">
      <c r="A47" s="26">
        <v>42</v>
      </c>
      <c r="B47" s="24" t="s">
        <v>150</v>
      </c>
      <c r="C47" s="33" t="s">
        <v>112</v>
      </c>
      <c r="D47" s="139">
        <v>12</v>
      </c>
      <c r="E47" s="138" t="s">
        <v>291</v>
      </c>
      <c r="F47" s="138" t="s">
        <v>291</v>
      </c>
      <c r="G47" s="138" t="s">
        <v>291</v>
      </c>
      <c r="H47" s="138" t="s">
        <v>291</v>
      </c>
      <c r="I47" s="138" t="s">
        <v>291</v>
      </c>
      <c r="J47" s="138" t="s">
        <v>291</v>
      </c>
      <c r="K47" s="138" t="s">
        <v>291</v>
      </c>
      <c r="L47" s="138" t="s">
        <v>291</v>
      </c>
      <c r="M47" s="138" t="s">
        <v>291</v>
      </c>
      <c r="N47" s="138" t="s">
        <v>291</v>
      </c>
      <c r="O47" s="138" t="s">
        <v>291</v>
      </c>
      <c r="P47" s="138" t="s">
        <v>291</v>
      </c>
      <c r="Q47" s="138">
        <v>9.41</v>
      </c>
      <c r="R47" s="138" t="s">
        <v>291</v>
      </c>
      <c r="S47" s="139" t="s">
        <v>291</v>
      </c>
      <c r="T47" s="139" t="s">
        <v>291</v>
      </c>
      <c r="U47" s="138" t="s">
        <v>291</v>
      </c>
      <c r="V47" s="138" t="s">
        <v>291</v>
      </c>
      <c r="W47" s="138">
        <v>9.9</v>
      </c>
      <c r="X47" s="138">
        <v>9</v>
      </c>
      <c r="Y47" s="139" t="s">
        <v>291</v>
      </c>
      <c r="Z47" s="139" t="s">
        <v>291</v>
      </c>
      <c r="AA47" s="139" t="s">
        <v>291</v>
      </c>
      <c r="AB47" s="139" t="s">
        <v>291</v>
      </c>
      <c r="AC47" s="138" t="s">
        <v>291</v>
      </c>
      <c r="AD47" s="138" t="s">
        <v>291</v>
      </c>
      <c r="AE47" s="138" t="s">
        <v>291</v>
      </c>
      <c r="AF47" s="138" t="s">
        <v>291</v>
      </c>
      <c r="AG47" s="138" t="s">
        <v>291</v>
      </c>
      <c r="AH47" s="138" t="s">
        <v>291</v>
      </c>
      <c r="AI47" s="138" t="s">
        <v>291</v>
      </c>
      <c r="AJ47" s="138" t="s">
        <v>291</v>
      </c>
      <c r="AK47" s="138" t="s">
        <v>291</v>
      </c>
      <c r="AL47" s="138" t="s">
        <v>291</v>
      </c>
      <c r="AM47" s="149">
        <f>SUM(Q47:X47)/3</f>
        <v>9.4366666666666674</v>
      </c>
      <c r="AN47" s="156">
        <f t="shared" si="4"/>
        <v>113.24000000000001</v>
      </c>
    </row>
    <row r="48" spans="1:40" x14ac:dyDescent="0.2">
      <c r="A48" s="26">
        <v>43</v>
      </c>
      <c r="B48" s="24" t="s">
        <v>151</v>
      </c>
      <c r="C48" s="33" t="s">
        <v>112</v>
      </c>
      <c r="D48" s="139">
        <v>12</v>
      </c>
      <c r="E48" s="138" t="s">
        <v>291</v>
      </c>
      <c r="F48" s="138" t="s">
        <v>291</v>
      </c>
      <c r="G48" s="138" t="s">
        <v>291</v>
      </c>
      <c r="H48" s="138" t="s">
        <v>291</v>
      </c>
      <c r="I48" s="138" t="s">
        <v>291</v>
      </c>
      <c r="J48" s="138" t="s">
        <v>291</v>
      </c>
      <c r="K48" s="138" t="s">
        <v>291</v>
      </c>
      <c r="L48" s="138" t="s">
        <v>291</v>
      </c>
      <c r="M48" s="138" t="s">
        <v>291</v>
      </c>
      <c r="N48" s="138" t="s">
        <v>291</v>
      </c>
      <c r="O48" s="138" t="s">
        <v>291</v>
      </c>
      <c r="P48" s="138" t="s">
        <v>291</v>
      </c>
      <c r="Q48" s="138">
        <v>13.88</v>
      </c>
      <c r="R48" s="138" t="s">
        <v>291</v>
      </c>
      <c r="S48" s="139" t="s">
        <v>291</v>
      </c>
      <c r="T48" s="139" t="s">
        <v>291</v>
      </c>
      <c r="U48" s="138" t="s">
        <v>291</v>
      </c>
      <c r="V48" s="138" t="s">
        <v>291</v>
      </c>
      <c r="W48" s="138">
        <v>13.2</v>
      </c>
      <c r="X48" s="138">
        <v>13.2</v>
      </c>
      <c r="Y48" s="139" t="s">
        <v>291</v>
      </c>
      <c r="Z48" s="139" t="s">
        <v>291</v>
      </c>
      <c r="AA48" s="139" t="s">
        <v>291</v>
      </c>
      <c r="AB48" s="139" t="s">
        <v>291</v>
      </c>
      <c r="AC48" s="138" t="s">
        <v>291</v>
      </c>
      <c r="AD48" s="138" t="s">
        <v>291</v>
      </c>
      <c r="AE48" s="138" t="s">
        <v>291</v>
      </c>
      <c r="AF48" s="138" t="s">
        <v>291</v>
      </c>
      <c r="AG48" s="138" t="s">
        <v>291</v>
      </c>
      <c r="AH48" s="138" t="s">
        <v>291</v>
      </c>
      <c r="AI48" s="138" t="s">
        <v>291</v>
      </c>
      <c r="AJ48" s="138" t="s">
        <v>291</v>
      </c>
      <c r="AK48" s="138" t="s">
        <v>291</v>
      </c>
      <c r="AL48" s="138" t="s">
        <v>291</v>
      </c>
      <c r="AM48" s="149">
        <f>SUM(Q48:X48)/3</f>
        <v>13.426666666666668</v>
      </c>
      <c r="AN48" s="156">
        <f t="shared" si="4"/>
        <v>161.12</v>
      </c>
    </row>
    <row r="49" spans="1:40" x14ac:dyDescent="0.2">
      <c r="A49" s="26">
        <v>44</v>
      </c>
      <c r="B49" s="24" t="s">
        <v>152</v>
      </c>
      <c r="C49" s="33" t="s">
        <v>153</v>
      </c>
      <c r="D49" s="139">
        <v>6</v>
      </c>
      <c r="E49" s="138">
        <v>42.25</v>
      </c>
      <c r="F49" s="138" t="s">
        <v>291</v>
      </c>
      <c r="G49" s="138" t="s">
        <v>291</v>
      </c>
      <c r="H49" s="138" t="s">
        <v>291</v>
      </c>
      <c r="I49" s="138" t="s">
        <v>291</v>
      </c>
      <c r="J49" s="138" t="s">
        <v>291</v>
      </c>
      <c r="K49" s="138" t="s">
        <v>291</v>
      </c>
      <c r="L49" s="138" t="s">
        <v>291</v>
      </c>
      <c r="M49" s="138" t="s">
        <v>291</v>
      </c>
      <c r="N49" s="139" t="s">
        <v>291</v>
      </c>
      <c r="O49" s="139" t="s">
        <v>291</v>
      </c>
      <c r="P49" s="139" t="s">
        <v>291</v>
      </c>
      <c r="Q49" s="139" t="s">
        <v>291</v>
      </c>
      <c r="R49" s="139" t="s">
        <v>291</v>
      </c>
      <c r="S49" s="139" t="s">
        <v>291</v>
      </c>
      <c r="T49" s="139" t="s">
        <v>291</v>
      </c>
      <c r="U49" s="139" t="s">
        <v>291</v>
      </c>
      <c r="V49" s="139" t="s">
        <v>291</v>
      </c>
      <c r="W49" s="139" t="s">
        <v>291</v>
      </c>
      <c r="X49" s="139" t="s">
        <v>291</v>
      </c>
      <c r="Y49" s="139" t="s">
        <v>291</v>
      </c>
      <c r="Z49" s="139" t="s">
        <v>291</v>
      </c>
      <c r="AA49" s="139" t="s">
        <v>291</v>
      </c>
      <c r="AB49" s="139" t="s">
        <v>291</v>
      </c>
      <c r="AC49" s="138">
        <v>24.9</v>
      </c>
      <c r="AD49" s="138">
        <v>14</v>
      </c>
      <c r="AE49" s="138" t="s">
        <v>291</v>
      </c>
      <c r="AF49" s="138" t="s">
        <v>291</v>
      </c>
      <c r="AG49" s="138" t="s">
        <v>291</v>
      </c>
      <c r="AH49" s="138" t="s">
        <v>291</v>
      </c>
      <c r="AI49" s="138" t="s">
        <v>291</v>
      </c>
      <c r="AJ49" s="138" t="s">
        <v>291</v>
      </c>
      <c r="AK49" s="138" t="s">
        <v>291</v>
      </c>
      <c r="AL49" s="138" t="s">
        <v>291</v>
      </c>
      <c r="AM49" s="149">
        <f>SUM(E49:AD49)/3</f>
        <v>27.05</v>
      </c>
      <c r="AN49" s="156">
        <f t="shared" si="4"/>
        <v>162.30000000000001</v>
      </c>
    </row>
    <row r="50" spans="1:40" x14ac:dyDescent="0.2">
      <c r="A50" s="26">
        <v>45</v>
      </c>
      <c r="B50" s="24" t="s">
        <v>400</v>
      </c>
      <c r="C50" s="33" t="s">
        <v>112</v>
      </c>
      <c r="D50" s="139">
        <v>10</v>
      </c>
      <c r="E50" s="138" t="s">
        <v>291</v>
      </c>
      <c r="F50" s="138" t="s">
        <v>291</v>
      </c>
      <c r="G50" s="138" t="s">
        <v>291</v>
      </c>
      <c r="H50" s="138" t="s">
        <v>291</v>
      </c>
      <c r="I50" s="138" t="s">
        <v>291</v>
      </c>
      <c r="J50" s="138" t="s">
        <v>291</v>
      </c>
      <c r="K50" s="138" t="s">
        <v>291</v>
      </c>
      <c r="L50" s="138" t="s">
        <v>291</v>
      </c>
      <c r="M50" s="138" t="s">
        <v>291</v>
      </c>
      <c r="N50" s="138">
        <v>13.9</v>
      </c>
      <c r="O50" s="139" t="s">
        <v>291</v>
      </c>
      <c r="P50" s="139" t="s">
        <v>291</v>
      </c>
      <c r="Q50" s="138">
        <v>10.54</v>
      </c>
      <c r="R50" s="139" t="s">
        <v>291</v>
      </c>
      <c r="S50" s="139" t="s">
        <v>291</v>
      </c>
      <c r="T50" s="139" t="s">
        <v>291</v>
      </c>
      <c r="U50" s="139" t="s">
        <v>291</v>
      </c>
      <c r="V50" s="139" t="s">
        <v>291</v>
      </c>
      <c r="W50" s="139" t="s">
        <v>291</v>
      </c>
      <c r="X50" s="138">
        <v>12.5</v>
      </c>
      <c r="Y50" s="139" t="s">
        <v>291</v>
      </c>
      <c r="Z50" s="139" t="s">
        <v>291</v>
      </c>
      <c r="AA50" s="139" t="s">
        <v>291</v>
      </c>
      <c r="AB50" s="139" t="s">
        <v>291</v>
      </c>
      <c r="AC50" s="139" t="s">
        <v>291</v>
      </c>
      <c r="AD50" s="139" t="s">
        <v>291</v>
      </c>
      <c r="AE50" s="139" t="s">
        <v>291</v>
      </c>
      <c r="AF50" s="139" t="s">
        <v>291</v>
      </c>
      <c r="AG50" s="139" t="s">
        <v>291</v>
      </c>
      <c r="AH50" s="139" t="s">
        <v>291</v>
      </c>
      <c r="AI50" s="139" t="s">
        <v>291</v>
      </c>
      <c r="AJ50" s="139" t="s">
        <v>291</v>
      </c>
      <c r="AK50" s="139" t="s">
        <v>291</v>
      </c>
      <c r="AL50" s="139" t="s">
        <v>291</v>
      </c>
      <c r="AM50" s="149">
        <f>SUM(E50:AL50)/3</f>
        <v>12.313333333333333</v>
      </c>
      <c r="AN50" s="156">
        <f t="shared" si="4"/>
        <v>123.13333333333333</v>
      </c>
    </row>
    <row r="51" spans="1:40" x14ac:dyDescent="0.2">
      <c r="A51" s="26">
        <v>46</v>
      </c>
      <c r="B51" s="24" t="s">
        <v>396</v>
      </c>
      <c r="C51" s="33" t="s">
        <v>112</v>
      </c>
      <c r="D51" s="139">
        <v>3000</v>
      </c>
      <c r="E51" s="138" t="s">
        <v>291</v>
      </c>
      <c r="F51" s="138" t="s">
        <v>291</v>
      </c>
      <c r="G51" s="138" t="s">
        <v>291</v>
      </c>
      <c r="H51" s="138" t="s">
        <v>291</v>
      </c>
      <c r="I51" s="138" t="s">
        <v>291</v>
      </c>
      <c r="J51" s="138" t="s">
        <v>291</v>
      </c>
      <c r="K51" s="138" t="s">
        <v>291</v>
      </c>
      <c r="L51" s="138" t="s">
        <v>291</v>
      </c>
      <c r="M51" s="138" t="s">
        <v>291</v>
      </c>
      <c r="N51" s="138" t="s">
        <v>291</v>
      </c>
      <c r="O51" s="138" t="s">
        <v>291</v>
      </c>
      <c r="P51" s="138" t="s">
        <v>291</v>
      </c>
      <c r="Q51" s="138" t="s">
        <v>291</v>
      </c>
      <c r="R51" s="138" t="s">
        <v>291</v>
      </c>
      <c r="S51" s="138" t="s">
        <v>291</v>
      </c>
      <c r="T51" s="138" t="s">
        <v>291</v>
      </c>
      <c r="U51" s="138" t="s">
        <v>291</v>
      </c>
      <c r="V51" s="138" t="s">
        <v>291</v>
      </c>
      <c r="W51" s="138" t="s">
        <v>291</v>
      </c>
      <c r="X51" s="138" t="s">
        <v>291</v>
      </c>
      <c r="Y51" s="138">
        <v>0.04</v>
      </c>
      <c r="Z51" s="139" t="s">
        <v>291</v>
      </c>
      <c r="AA51" s="139" t="s">
        <v>291</v>
      </c>
      <c r="AB51" s="139" t="s">
        <v>291</v>
      </c>
      <c r="AC51" s="139" t="s">
        <v>291</v>
      </c>
      <c r="AD51" s="138">
        <v>0.06</v>
      </c>
      <c r="AE51" s="139" t="s">
        <v>291</v>
      </c>
      <c r="AF51" s="138">
        <v>0.05</v>
      </c>
      <c r="AG51" s="139" t="s">
        <v>291</v>
      </c>
      <c r="AH51" s="139" t="s">
        <v>291</v>
      </c>
      <c r="AI51" s="139" t="s">
        <v>291</v>
      </c>
      <c r="AJ51" s="139" t="s">
        <v>291</v>
      </c>
      <c r="AK51" s="139" t="s">
        <v>291</v>
      </c>
      <c r="AL51" s="139" t="s">
        <v>291</v>
      </c>
      <c r="AM51" s="149">
        <f>SUM(Y51:AF51)/3</f>
        <v>5.000000000000001E-2</v>
      </c>
      <c r="AN51" s="156">
        <f>AM51*D51</f>
        <v>150.00000000000003</v>
      </c>
    </row>
    <row r="52" spans="1:40" x14ac:dyDescent="0.2">
      <c r="A52" s="26">
        <v>47</v>
      </c>
      <c r="B52" s="24" t="s">
        <v>527</v>
      </c>
      <c r="C52" s="33" t="s">
        <v>112</v>
      </c>
      <c r="D52" s="139">
        <v>3000</v>
      </c>
      <c r="E52" s="138" t="s">
        <v>291</v>
      </c>
      <c r="F52" s="138" t="s">
        <v>291</v>
      </c>
      <c r="G52" s="138" t="s">
        <v>291</v>
      </c>
      <c r="H52" s="138" t="s">
        <v>291</v>
      </c>
      <c r="I52" s="138" t="s">
        <v>291</v>
      </c>
      <c r="J52" s="138" t="s">
        <v>291</v>
      </c>
      <c r="K52" s="138" t="s">
        <v>291</v>
      </c>
      <c r="L52" s="138" t="s">
        <v>291</v>
      </c>
      <c r="M52" s="138" t="s">
        <v>291</v>
      </c>
      <c r="N52" s="138" t="s">
        <v>291</v>
      </c>
      <c r="O52" s="138" t="s">
        <v>291</v>
      </c>
      <c r="P52" s="138" t="s">
        <v>291</v>
      </c>
      <c r="Q52" s="138" t="s">
        <v>291</v>
      </c>
      <c r="R52" s="138" t="s">
        <v>291</v>
      </c>
      <c r="S52" s="138" t="s">
        <v>291</v>
      </c>
      <c r="T52" s="138" t="s">
        <v>291</v>
      </c>
      <c r="U52" s="138" t="s">
        <v>291</v>
      </c>
      <c r="V52" s="138" t="s">
        <v>291</v>
      </c>
      <c r="W52" s="138" t="s">
        <v>291</v>
      </c>
      <c r="X52" s="138" t="s">
        <v>291</v>
      </c>
      <c r="Y52" s="139" t="s">
        <v>291</v>
      </c>
      <c r="Z52" s="139" t="s">
        <v>291</v>
      </c>
      <c r="AA52" s="139" t="s">
        <v>291</v>
      </c>
      <c r="AB52" s="139" t="s">
        <v>291</v>
      </c>
      <c r="AC52" s="138">
        <v>0.12</v>
      </c>
      <c r="AD52" s="138">
        <v>0.14000000000000001</v>
      </c>
      <c r="AE52" s="138" t="s">
        <v>291</v>
      </c>
      <c r="AF52" s="138">
        <v>0.13</v>
      </c>
      <c r="AG52" s="139" t="s">
        <v>291</v>
      </c>
      <c r="AH52" s="139" t="s">
        <v>291</v>
      </c>
      <c r="AI52" s="139" t="s">
        <v>291</v>
      </c>
      <c r="AJ52" s="139" t="s">
        <v>291</v>
      </c>
      <c r="AK52" s="139" t="s">
        <v>291</v>
      </c>
      <c r="AL52" s="139" t="s">
        <v>291</v>
      </c>
      <c r="AM52" s="149">
        <f>SUM(AC52:AF52)/3</f>
        <v>0.13</v>
      </c>
      <c r="AN52" s="156">
        <f>AM52*D52</f>
        <v>390</v>
      </c>
    </row>
    <row r="53" spans="1:40" x14ac:dyDescent="0.2">
      <c r="A53" s="26">
        <v>48</v>
      </c>
      <c r="B53" s="24" t="s">
        <v>402</v>
      </c>
      <c r="C53" s="33" t="s">
        <v>112</v>
      </c>
      <c r="D53" s="139">
        <v>2</v>
      </c>
      <c r="E53" s="138" t="s">
        <v>291</v>
      </c>
      <c r="F53" s="138" t="s">
        <v>291</v>
      </c>
      <c r="G53" s="138" t="s">
        <v>291</v>
      </c>
      <c r="H53" s="138" t="s">
        <v>291</v>
      </c>
      <c r="I53" s="138" t="s">
        <v>291</v>
      </c>
      <c r="J53" s="138" t="s">
        <v>291</v>
      </c>
      <c r="K53" s="138" t="s">
        <v>291</v>
      </c>
      <c r="L53" s="138" t="s">
        <v>291</v>
      </c>
      <c r="M53" s="138" t="s">
        <v>291</v>
      </c>
      <c r="N53" s="138" t="s">
        <v>291</v>
      </c>
      <c r="O53" s="138" t="s">
        <v>291</v>
      </c>
      <c r="P53" s="138" t="s">
        <v>291</v>
      </c>
      <c r="Q53" s="138" t="s">
        <v>291</v>
      </c>
      <c r="R53" s="138" t="s">
        <v>291</v>
      </c>
      <c r="S53" s="138" t="s">
        <v>291</v>
      </c>
      <c r="T53" s="138" t="s">
        <v>291</v>
      </c>
      <c r="U53" s="138" t="s">
        <v>291</v>
      </c>
      <c r="V53" s="138" t="s">
        <v>291</v>
      </c>
      <c r="W53" s="138" t="s">
        <v>291</v>
      </c>
      <c r="X53" s="138" t="s">
        <v>291</v>
      </c>
      <c r="Y53" s="138">
        <v>28.26</v>
      </c>
      <c r="Z53" s="138">
        <v>29.58</v>
      </c>
      <c r="AA53" s="138" t="s">
        <v>291</v>
      </c>
      <c r="AB53" s="138" t="s">
        <v>291</v>
      </c>
      <c r="AC53" s="138">
        <v>44.33</v>
      </c>
      <c r="AD53" s="138" t="s">
        <v>291</v>
      </c>
      <c r="AE53" s="138" t="s">
        <v>291</v>
      </c>
      <c r="AF53" s="138" t="s">
        <v>291</v>
      </c>
      <c r="AG53" s="138" t="s">
        <v>291</v>
      </c>
      <c r="AH53" s="138" t="s">
        <v>291</v>
      </c>
      <c r="AI53" s="138" t="s">
        <v>291</v>
      </c>
      <c r="AJ53" s="138" t="s">
        <v>291</v>
      </c>
      <c r="AK53" s="138" t="s">
        <v>291</v>
      </c>
      <c r="AL53" s="138" t="s">
        <v>291</v>
      </c>
      <c r="AM53" s="149">
        <f>SUM(E53:AD53)/3</f>
        <v>34.056666666666665</v>
      </c>
      <c r="AN53" s="156">
        <f t="shared" ref="AN53:AN65" si="5">AM53*D53</f>
        <v>68.11333333333333</v>
      </c>
    </row>
    <row r="54" spans="1:40" x14ac:dyDescent="0.2">
      <c r="A54" s="26">
        <v>49</v>
      </c>
      <c r="B54" s="24" t="s">
        <v>172</v>
      </c>
      <c r="C54" s="33" t="s">
        <v>173</v>
      </c>
      <c r="D54" s="139">
        <v>2</v>
      </c>
      <c r="E54" s="138" t="s">
        <v>291</v>
      </c>
      <c r="F54" s="138" t="s">
        <v>291</v>
      </c>
      <c r="G54" s="138" t="s">
        <v>291</v>
      </c>
      <c r="H54" s="138" t="s">
        <v>291</v>
      </c>
      <c r="I54" s="138" t="s">
        <v>291</v>
      </c>
      <c r="J54" s="138" t="s">
        <v>291</v>
      </c>
      <c r="K54" s="138" t="s">
        <v>291</v>
      </c>
      <c r="L54" s="138" t="s">
        <v>291</v>
      </c>
      <c r="M54" s="138" t="s">
        <v>291</v>
      </c>
      <c r="N54" s="138" t="s">
        <v>291</v>
      </c>
      <c r="O54" s="138" t="s">
        <v>291</v>
      </c>
      <c r="P54" s="138" t="s">
        <v>291</v>
      </c>
      <c r="Q54" s="138" t="s">
        <v>291</v>
      </c>
      <c r="R54" s="138" t="s">
        <v>291</v>
      </c>
      <c r="S54" s="138" t="s">
        <v>291</v>
      </c>
      <c r="T54" s="138" t="s">
        <v>291</v>
      </c>
      <c r="U54" s="138" t="s">
        <v>291</v>
      </c>
      <c r="V54" s="138" t="s">
        <v>291</v>
      </c>
      <c r="W54" s="138" t="s">
        <v>291</v>
      </c>
      <c r="X54" s="138" t="s">
        <v>291</v>
      </c>
      <c r="Y54" s="138" t="s">
        <v>291</v>
      </c>
      <c r="Z54" s="138" t="s">
        <v>291</v>
      </c>
      <c r="AA54" s="138" t="s">
        <v>291</v>
      </c>
      <c r="AB54" s="138" t="s">
        <v>291</v>
      </c>
      <c r="AC54" s="138">
        <v>64</v>
      </c>
      <c r="AD54" s="138">
        <v>85</v>
      </c>
      <c r="AE54" s="138" t="s">
        <v>291</v>
      </c>
      <c r="AF54" s="138">
        <v>84.16</v>
      </c>
      <c r="AG54" s="138" t="s">
        <v>291</v>
      </c>
      <c r="AH54" s="138" t="s">
        <v>291</v>
      </c>
      <c r="AI54" s="138" t="s">
        <v>291</v>
      </c>
      <c r="AJ54" s="138" t="s">
        <v>291</v>
      </c>
      <c r="AK54" s="138" t="s">
        <v>291</v>
      </c>
      <c r="AL54" s="138" t="s">
        <v>291</v>
      </c>
      <c r="AM54" s="149">
        <f>SUM(AC54:AF54)/3</f>
        <v>77.72</v>
      </c>
      <c r="AN54" s="156">
        <f t="shared" si="5"/>
        <v>155.44</v>
      </c>
    </row>
    <row r="55" spans="1:40" x14ac:dyDescent="0.2">
      <c r="A55" s="26">
        <v>50</v>
      </c>
      <c r="B55" s="24" t="s">
        <v>286</v>
      </c>
      <c r="C55" s="33" t="s">
        <v>137</v>
      </c>
      <c r="D55" s="139">
        <v>250</v>
      </c>
      <c r="E55" s="138" t="s">
        <v>291</v>
      </c>
      <c r="F55" s="138" t="s">
        <v>291</v>
      </c>
      <c r="G55" s="138" t="s">
        <v>291</v>
      </c>
      <c r="H55" s="138" t="s">
        <v>291</v>
      </c>
      <c r="I55" s="138" t="s">
        <v>291</v>
      </c>
      <c r="J55" s="138" t="s">
        <v>291</v>
      </c>
      <c r="K55" s="138" t="s">
        <v>291</v>
      </c>
      <c r="L55" s="138" t="s">
        <v>291</v>
      </c>
      <c r="M55" s="138" t="s">
        <v>291</v>
      </c>
      <c r="N55" s="138">
        <v>28.8</v>
      </c>
      <c r="O55" s="138" t="s">
        <v>291</v>
      </c>
      <c r="P55" s="138" t="s">
        <v>291</v>
      </c>
      <c r="Q55" s="138">
        <v>27.43</v>
      </c>
      <c r="R55" s="138" t="s">
        <v>291</v>
      </c>
      <c r="S55" s="138" t="s">
        <v>291</v>
      </c>
      <c r="T55" s="138" t="s">
        <v>291</v>
      </c>
      <c r="U55" s="138" t="s">
        <v>291</v>
      </c>
      <c r="V55" s="138" t="s">
        <v>291</v>
      </c>
      <c r="W55" s="138" t="s">
        <v>291</v>
      </c>
      <c r="X55" s="138">
        <v>24.6</v>
      </c>
      <c r="Y55" s="138" t="s">
        <v>291</v>
      </c>
      <c r="Z55" s="138" t="s">
        <v>291</v>
      </c>
      <c r="AA55" s="138" t="s">
        <v>291</v>
      </c>
      <c r="AB55" s="138" t="s">
        <v>291</v>
      </c>
      <c r="AC55" s="138" t="s">
        <v>291</v>
      </c>
      <c r="AD55" s="138" t="s">
        <v>291</v>
      </c>
      <c r="AE55" s="138" t="s">
        <v>291</v>
      </c>
      <c r="AF55" s="138" t="s">
        <v>291</v>
      </c>
      <c r="AG55" s="138" t="s">
        <v>291</v>
      </c>
      <c r="AH55" s="138" t="s">
        <v>291</v>
      </c>
      <c r="AI55" s="138" t="s">
        <v>291</v>
      </c>
      <c r="AJ55" s="138" t="s">
        <v>291</v>
      </c>
      <c r="AK55" s="138" t="s">
        <v>291</v>
      </c>
      <c r="AL55" s="138" t="s">
        <v>291</v>
      </c>
      <c r="AM55" s="149">
        <f t="shared" ref="AM55:AM64" si="6">SUM(N55:X55)/3</f>
        <v>26.943333333333339</v>
      </c>
      <c r="AN55" s="156">
        <f t="shared" si="5"/>
        <v>6735.8333333333348</v>
      </c>
    </row>
    <row r="56" spans="1:40" x14ac:dyDescent="0.2">
      <c r="A56" s="26">
        <v>51</v>
      </c>
      <c r="B56" s="24" t="s">
        <v>287</v>
      </c>
      <c r="C56" s="33" t="s">
        <v>137</v>
      </c>
      <c r="D56" s="139">
        <v>250</v>
      </c>
      <c r="E56" s="138" t="s">
        <v>291</v>
      </c>
      <c r="F56" s="138" t="s">
        <v>291</v>
      </c>
      <c r="G56" s="138" t="s">
        <v>291</v>
      </c>
      <c r="H56" s="138" t="s">
        <v>291</v>
      </c>
      <c r="I56" s="138" t="s">
        <v>291</v>
      </c>
      <c r="J56" s="138" t="s">
        <v>291</v>
      </c>
      <c r="K56" s="138" t="s">
        <v>291</v>
      </c>
      <c r="L56" s="138" t="s">
        <v>291</v>
      </c>
      <c r="M56" s="138" t="s">
        <v>291</v>
      </c>
      <c r="N56" s="138">
        <v>13.86</v>
      </c>
      <c r="O56" s="138" t="s">
        <v>291</v>
      </c>
      <c r="P56" s="138" t="s">
        <v>291</v>
      </c>
      <c r="Q56" s="138">
        <v>12.98</v>
      </c>
      <c r="R56" s="138" t="s">
        <v>291</v>
      </c>
      <c r="S56" s="138" t="s">
        <v>291</v>
      </c>
      <c r="T56" s="138" t="s">
        <v>291</v>
      </c>
      <c r="U56" s="138" t="s">
        <v>291</v>
      </c>
      <c r="V56" s="138" t="s">
        <v>291</v>
      </c>
      <c r="W56" s="138" t="s">
        <v>291</v>
      </c>
      <c r="X56" s="138">
        <v>12.6</v>
      </c>
      <c r="Y56" s="138" t="s">
        <v>291</v>
      </c>
      <c r="Z56" s="138" t="s">
        <v>291</v>
      </c>
      <c r="AA56" s="138" t="s">
        <v>291</v>
      </c>
      <c r="AB56" s="138" t="s">
        <v>291</v>
      </c>
      <c r="AC56" s="138" t="s">
        <v>291</v>
      </c>
      <c r="AD56" s="138" t="s">
        <v>291</v>
      </c>
      <c r="AE56" s="138" t="s">
        <v>291</v>
      </c>
      <c r="AF56" s="138" t="s">
        <v>291</v>
      </c>
      <c r="AG56" s="138" t="s">
        <v>291</v>
      </c>
      <c r="AH56" s="138" t="s">
        <v>291</v>
      </c>
      <c r="AI56" s="138" t="s">
        <v>291</v>
      </c>
      <c r="AJ56" s="138" t="s">
        <v>291</v>
      </c>
      <c r="AK56" s="138" t="s">
        <v>291</v>
      </c>
      <c r="AL56" s="138" t="s">
        <v>291</v>
      </c>
      <c r="AM56" s="149">
        <f t="shared" si="6"/>
        <v>13.146666666666667</v>
      </c>
      <c r="AN56" s="156">
        <f t="shared" si="5"/>
        <v>3286.6666666666665</v>
      </c>
    </row>
    <row r="57" spans="1:40" x14ac:dyDescent="0.2">
      <c r="A57" s="26">
        <v>52</v>
      </c>
      <c r="B57" s="24" t="s">
        <v>288</v>
      </c>
      <c r="C57" s="33" t="s">
        <v>137</v>
      </c>
      <c r="D57" s="139">
        <v>250</v>
      </c>
      <c r="E57" s="138" t="s">
        <v>291</v>
      </c>
      <c r="F57" s="138" t="s">
        <v>291</v>
      </c>
      <c r="G57" s="138" t="s">
        <v>291</v>
      </c>
      <c r="H57" s="138" t="s">
        <v>291</v>
      </c>
      <c r="I57" s="138" t="s">
        <v>291</v>
      </c>
      <c r="J57" s="138" t="s">
        <v>291</v>
      </c>
      <c r="K57" s="138" t="s">
        <v>291</v>
      </c>
      <c r="L57" s="138" t="s">
        <v>291</v>
      </c>
      <c r="M57" s="138" t="s">
        <v>291</v>
      </c>
      <c r="N57" s="138">
        <v>44.66</v>
      </c>
      <c r="O57" s="138" t="s">
        <v>291</v>
      </c>
      <c r="P57" s="138" t="s">
        <v>291</v>
      </c>
      <c r="Q57" s="138">
        <v>42.88</v>
      </c>
      <c r="R57" s="138" t="s">
        <v>291</v>
      </c>
      <c r="S57" s="138" t="s">
        <v>291</v>
      </c>
      <c r="T57" s="138" t="s">
        <v>291</v>
      </c>
      <c r="U57" s="138">
        <v>43.78</v>
      </c>
      <c r="V57" s="138" t="s">
        <v>291</v>
      </c>
      <c r="W57" s="138" t="s">
        <v>291</v>
      </c>
      <c r="X57" s="138" t="s">
        <v>291</v>
      </c>
      <c r="Y57" s="138" t="s">
        <v>291</v>
      </c>
      <c r="Z57" s="138" t="s">
        <v>291</v>
      </c>
      <c r="AA57" s="138" t="s">
        <v>291</v>
      </c>
      <c r="AB57" s="138" t="s">
        <v>291</v>
      </c>
      <c r="AC57" s="138" t="s">
        <v>291</v>
      </c>
      <c r="AD57" s="138" t="s">
        <v>291</v>
      </c>
      <c r="AE57" s="138" t="s">
        <v>291</v>
      </c>
      <c r="AF57" s="138" t="s">
        <v>291</v>
      </c>
      <c r="AG57" s="138" t="s">
        <v>291</v>
      </c>
      <c r="AH57" s="138" t="s">
        <v>291</v>
      </c>
      <c r="AI57" s="138" t="s">
        <v>291</v>
      </c>
      <c r="AJ57" s="138" t="s">
        <v>291</v>
      </c>
      <c r="AK57" s="138" t="s">
        <v>291</v>
      </c>
      <c r="AL57" s="138" t="s">
        <v>291</v>
      </c>
      <c r="AM57" s="149">
        <f t="shared" si="6"/>
        <v>43.773333333333333</v>
      </c>
      <c r="AN57" s="156">
        <f t="shared" si="5"/>
        <v>10943.333333333334</v>
      </c>
    </row>
    <row r="58" spans="1:40" x14ac:dyDescent="0.2">
      <c r="A58" s="26">
        <v>53</v>
      </c>
      <c r="B58" s="24" t="s">
        <v>289</v>
      </c>
      <c r="C58" s="33" t="s">
        <v>137</v>
      </c>
      <c r="D58" s="139">
        <v>250</v>
      </c>
      <c r="E58" s="138" t="s">
        <v>291</v>
      </c>
      <c r="F58" s="138" t="s">
        <v>291</v>
      </c>
      <c r="G58" s="138" t="s">
        <v>291</v>
      </c>
      <c r="H58" s="138" t="s">
        <v>291</v>
      </c>
      <c r="I58" s="138" t="s">
        <v>291</v>
      </c>
      <c r="J58" s="138" t="s">
        <v>291</v>
      </c>
      <c r="K58" s="138" t="s">
        <v>291</v>
      </c>
      <c r="L58" s="138" t="s">
        <v>291</v>
      </c>
      <c r="M58" s="138" t="s">
        <v>291</v>
      </c>
      <c r="N58" s="138">
        <v>20.6</v>
      </c>
      <c r="O58" s="138" t="s">
        <v>291</v>
      </c>
      <c r="P58" s="138" t="s">
        <v>291</v>
      </c>
      <c r="Q58" s="138" t="s">
        <v>291</v>
      </c>
      <c r="R58" s="138" t="s">
        <v>291</v>
      </c>
      <c r="S58" s="138" t="s">
        <v>291</v>
      </c>
      <c r="T58" s="138" t="s">
        <v>291</v>
      </c>
      <c r="U58" s="138">
        <v>21.66</v>
      </c>
      <c r="V58" s="138" t="s">
        <v>291</v>
      </c>
      <c r="W58" s="138" t="s">
        <v>291</v>
      </c>
      <c r="X58" s="138">
        <v>17.93</v>
      </c>
      <c r="Y58" s="138" t="s">
        <v>291</v>
      </c>
      <c r="Z58" s="138" t="s">
        <v>291</v>
      </c>
      <c r="AA58" s="138" t="s">
        <v>291</v>
      </c>
      <c r="AB58" s="138" t="s">
        <v>291</v>
      </c>
      <c r="AC58" s="138" t="s">
        <v>291</v>
      </c>
      <c r="AD58" s="138" t="s">
        <v>291</v>
      </c>
      <c r="AE58" s="138" t="s">
        <v>291</v>
      </c>
      <c r="AF58" s="138" t="s">
        <v>291</v>
      </c>
      <c r="AG58" s="138" t="s">
        <v>291</v>
      </c>
      <c r="AH58" s="138" t="s">
        <v>291</v>
      </c>
      <c r="AI58" s="138" t="s">
        <v>291</v>
      </c>
      <c r="AJ58" s="138" t="s">
        <v>291</v>
      </c>
      <c r="AK58" s="138" t="s">
        <v>291</v>
      </c>
      <c r="AL58" s="138" t="s">
        <v>291</v>
      </c>
      <c r="AM58" s="149">
        <f t="shared" si="6"/>
        <v>20.063333333333336</v>
      </c>
      <c r="AN58" s="156">
        <f t="shared" si="5"/>
        <v>5015.8333333333339</v>
      </c>
    </row>
    <row r="59" spans="1:40" x14ac:dyDescent="0.2">
      <c r="A59" s="26">
        <v>54</v>
      </c>
      <c r="B59" s="24" t="s">
        <v>290</v>
      </c>
      <c r="C59" s="33" t="s">
        <v>137</v>
      </c>
      <c r="D59" s="139">
        <v>250</v>
      </c>
      <c r="E59" s="138" t="s">
        <v>291</v>
      </c>
      <c r="F59" s="138" t="s">
        <v>291</v>
      </c>
      <c r="G59" s="138" t="s">
        <v>291</v>
      </c>
      <c r="H59" s="138" t="s">
        <v>291</v>
      </c>
      <c r="I59" s="138" t="s">
        <v>291</v>
      </c>
      <c r="J59" s="138" t="s">
        <v>291</v>
      </c>
      <c r="K59" s="138" t="s">
        <v>291</v>
      </c>
      <c r="L59" s="138" t="s">
        <v>291</v>
      </c>
      <c r="M59" s="138" t="s">
        <v>291</v>
      </c>
      <c r="N59" s="138">
        <v>36.6</v>
      </c>
      <c r="O59" s="138" t="s">
        <v>291</v>
      </c>
      <c r="P59" s="138" t="s">
        <v>291</v>
      </c>
      <c r="Q59" s="138">
        <v>34.96</v>
      </c>
      <c r="R59" s="138" t="s">
        <v>291</v>
      </c>
      <c r="S59" s="138" t="s">
        <v>291</v>
      </c>
      <c r="T59" s="138" t="s">
        <v>291</v>
      </c>
      <c r="U59" s="138">
        <v>36</v>
      </c>
      <c r="V59" s="138" t="s">
        <v>291</v>
      </c>
      <c r="W59" s="138" t="s">
        <v>291</v>
      </c>
      <c r="X59" s="138" t="s">
        <v>291</v>
      </c>
      <c r="Y59" s="138" t="s">
        <v>291</v>
      </c>
      <c r="Z59" s="138" t="s">
        <v>291</v>
      </c>
      <c r="AA59" s="138" t="s">
        <v>291</v>
      </c>
      <c r="AB59" s="138" t="s">
        <v>291</v>
      </c>
      <c r="AC59" s="138" t="s">
        <v>291</v>
      </c>
      <c r="AD59" s="138" t="s">
        <v>291</v>
      </c>
      <c r="AE59" s="138" t="s">
        <v>291</v>
      </c>
      <c r="AF59" s="138" t="s">
        <v>291</v>
      </c>
      <c r="AG59" s="138" t="s">
        <v>291</v>
      </c>
      <c r="AH59" s="138" t="s">
        <v>291</v>
      </c>
      <c r="AI59" s="138" t="s">
        <v>291</v>
      </c>
      <c r="AJ59" s="138" t="s">
        <v>291</v>
      </c>
      <c r="AK59" s="138" t="s">
        <v>291</v>
      </c>
      <c r="AL59" s="138" t="s">
        <v>291</v>
      </c>
      <c r="AM59" s="149">
        <f t="shared" si="6"/>
        <v>35.853333333333332</v>
      </c>
      <c r="AN59" s="156">
        <f t="shared" si="5"/>
        <v>8963.3333333333321</v>
      </c>
    </row>
    <row r="60" spans="1:40" x14ac:dyDescent="0.2">
      <c r="A60" s="26">
        <v>55</v>
      </c>
      <c r="B60" s="24" t="s">
        <v>295</v>
      </c>
      <c r="C60" s="33" t="s">
        <v>112</v>
      </c>
      <c r="D60" s="139">
        <v>120</v>
      </c>
      <c r="E60" s="138" t="s">
        <v>291</v>
      </c>
      <c r="F60" s="138" t="s">
        <v>291</v>
      </c>
      <c r="G60" s="138" t="s">
        <v>291</v>
      </c>
      <c r="H60" s="138" t="s">
        <v>291</v>
      </c>
      <c r="I60" s="138" t="s">
        <v>291</v>
      </c>
      <c r="J60" s="138" t="s">
        <v>291</v>
      </c>
      <c r="K60" s="138" t="s">
        <v>291</v>
      </c>
      <c r="L60" s="138" t="s">
        <v>291</v>
      </c>
      <c r="M60" s="138" t="s">
        <v>291</v>
      </c>
      <c r="N60" s="138" t="s">
        <v>291</v>
      </c>
      <c r="O60" s="138" t="s">
        <v>291</v>
      </c>
      <c r="P60" s="138" t="s">
        <v>291</v>
      </c>
      <c r="Q60" s="138">
        <v>3.86</v>
      </c>
      <c r="R60" s="138" t="s">
        <v>291</v>
      </c>
      <c r="S60" s="138" t="s">
        <v>291</v>
      </c>
      <c r="T60" s="138" t="s">
        <v>291</v>
      </c>
      <c r="U60" s="138">
        <v>2.7</v>
      </c>
      <c r="V60" s="138" t="s">
        <v>291</v>
      </c>
      <c r="W60" s="138">
        <v>3.98</v>
      </c>
      <c r="X60" s="138" t="s">
        <v>291</v>
      </c>
      <c r="Y60" s="138" t="s">
        <v>291</v>
      </c>
      <c r="Z60" s="138" t="s">
        <v>291</v>
      </c>
      <c r="AA60" s="138" t="s">
        <v>291</v>
      </c>
      <c r="AB60" s="138" t="s">
        <v>291</v>
      </c>
      <c r="AC60" s="138" t="s">
        <v>291</v>
      </c>
      <c r="AD60" s="138" t="s">
        <v>291</v>
      </c>
      <c r="AE60" s="138" t="s">
        <v>291</v>
      </c>
      <c r="AF60" s="138" t="s">
        <v>291</v>
      </c>
      <c r="AG60" s="138" t="s">
        <v>291</v>
      </c>
      <c r="AH60" s="138" t="s">
        <v>291</v>
      </c>
      <c r="AI60" s="138" t="s">
        <v>291</v>
      </c>
      <c r="AJ60" s="138" t="s">
        <v>291</v>
      </c>
      <c r="AK60" s="138" t="s">
        <v>291</v>
      </c>
      <c r="AL60" s="138" t="s">
        <v>291</v>
      </c>
      <c r="AM60" s="149">
        <f t="shared" si="6"/>
        <v>3.5133333333333336</v>
      </c>
      <c r="AN60" s="156">
        <f t="shared" si="5"/>
        <v>421.6</v>
      </c>
    </row>
    <row r="61" spans="1:40" x14ac:dyDescent="0.2">
      <c r="A61" s="26">
        <v>56</v>
      </c>
      <c r="B61" s="24" t="s">
        <v>296</v>
      </c>
      <c r="C61" s="33" t="s">
        <v>112</v>
      </c>
      <c r="D61" s="139">
        <v>120</v>
      </c>
      <c r="E61" s="138" t="s">
        <v>291</v>
      </c>
      <c r="F61" s="138" t="s">
        <v>291</v>
      </c>
      <c r="G61" s="138" t="s">
        <v>291</v>
      </c>
      <c r="H61" s="138" t="s">
        <v>291</v>
      </c>
      <c r="I61" s="138" t="s">
        <v>291</v>
      </c>
      <c r="J61" s="138" t="s">
        <v>291</v>
      </c>
      <c r="K61" s="138" t="s">
        <v>291</v>
      </c>
      <c r="L61" s="138" t="s">
        <v>291</v>
      </c>
      <c r="M61" s="138" t="s">
        <v>291</v>
      </c>
      <c r="N61" s="138">
        <v>3.9</v>
      </c>
      <c r="O61" s="138" t="s">
        <v>291</v>
      </c>
      <c r="P61" s="138" t="s">
        <v>291</v>
      </c>
      <c r="Q61" s="138">
        <v>3.01</v>
      </c>
      <c r="R61" s="138" t="s">
        <v>291</v>
      </c>
      <c r="S61" s="138" t="s">
        <v>291</v>
      </c>
      <c r="T61" s="138" t="s">
        <v>291</v>
      </c>
      <c r="U61" s="138">
        <v>2.1</v>
      </c>
      <c r="V61" s="138" t="s">
        <v>291</v>
      </c>
      <c r="W61" s="138" t="s">
        <v>291</v>
      </c>
      <c r="X61" s="138" t="s">
        <v>291</v>
      </c>
      <c r="Y61" s="138" t="s">
        <v>291</v>
      </c>
      <c r="Z61" s="138" t="s">
        <v>291</v>
      </c>
      <c r="AA61" s="138" t="s">
        <v>291</v>
      </c>
      <c r="AB61" s="138" t="s">
        <v>291</v>
      </c>
      <c r="AC61" s="138" t="s">
        <v>291</v>
      </c>
      <c r="AD61" s="138" t="s">
        <v>291</v>
      </c>
      <c r="AE61" s="138" t="s">
        <v>291</v>
      </c>
      <c r="AF61" s="138" t="s">
        <v>291</v>
      </c>
      <c r="AG61" s="138" t="s">
        <v>291</v>
      </c>
      <c r="AH61" s="138" t="s">
        <v>291</v>
      </c>
      <c r="AI61" s="138" t="s">
        <v>291</v>
      </c>
      <c r="AJ61" s="138" t="s">
        <v>291</v>
      </c>
      <c r="AK61" s="138" t="s">
        <v>291</v>
      </c>
      <c r="AL61" s="138" t="s">
        <v>291</v>
      </c>
      <c r="AM61" s="149">
        <f t="shared" si="6"/>
        <v>3.0033333333333334</v>
      </c>
      <c r="AN61" s="156">
        <f t="shared" si="5"/>
        <v>360.40000000000003</v>
      </c>
    </row>
    <row r="62" spans="1:40" x14ac:dyDescent="0.2">
      <c r="A62" s="26">
        <v>57</v>
      </c>
      <c r="B62" s="24" t="s">
        <v>297</v>
      </c>
      <c r="C62" s="33" t="s">
        <v>112</v>
      </c>
      <c r="D62" s="139">
        <v>120</v>
      </c>
      <c r="E62" s="138" t="s">
        <v>291</v>
      </c>
      <c r="F62" s="138" t="s">
        <v>291</v>
      </c>
      <c r="G62" s="138" t="s">
        <v>291</v>
      </c>
      <c r="H62" s="138" t="s">
        <v>291</v>
      </c>
      <c r="I62" s="138" t="s">
        <v>291</v>
      </c>
      <c r="J62" s="138" t="s">
        <v>291</v>
      </c>
      <c r="K62" s="138" t="s">
        <v>291</v>
      </c>
      <c r="L62" s="138" t="s">
        <v>291</v>
      </c>
      <c r="M62" s="138" t="s">
        <v>291</v>
      </c>
      <c r="N62" s="138" t="s">
        <v>291</v>
      </c>
      <c r="O62" s="138" t="s">
        <v>291</v>
      </c>
      <c r="P62" s="138" t="s">
        <v>291</v>
      </c>
      <c r="Q62" s="138">
        <v>3.67</v>
      </c>
      <c r="R62" s="138" t="s">
        <v>291</v>
      </c>
      <c r="S62" s="138" t="s">
        <v>291</v>
      </c>
      <c r="T62" s="138" t="s">
        <v>291</v>
      </c>
      <c r="U62" s="138">
        <v>2.25</v>
      </c>
      <c r="V62" s="138" t="s">
        <v>291</v>
      </c>
      <c r="W62" s="138" t="s">
        <v>291</v>
      </c>
      <c r="X62" s="138">
        <v>3.57</v>
      </c>
      <c r="Y62" s="138" t="s">
        <v>291</v>
      </c>
      <c r="Z62" s="138" t="s">
        <v>291</v>
      </c>
      <c r="AA62" s="138" t="s">
        <v>291</v>
      </c>
      <c r="AB62" s="138" t="s">
        <v>291</v>
      </c>
      <c r="AC62" s="138" t="s">
        <v>291</v>
      </c>
      <c r="AD62" s="138" t="s">
        <v>291</v>
      </c>
      <c r="AE62" s="138" t="s">
        <v>291</v>
      </c>
      <c r="AF62" s="138" t="s">
        <v>291</v>
      </c>
      <c r="AG62" s="138" t="s">
        <v>291</v>
      </c>
      <c r="AH62" s="138" t="s">
        <v>291</v>
      </c>
      <c r="AI62" s="138" t="s">
        <v>291</v>
      </c>
      <c r="AJ62" s="138" t="s">
        <v>291</v>
      </c>
      <c r="AK62" s="138" t="s">
        <v>291</v>
      </c>
      <c r="AL62" s="138" t="s">
        <v>291</v>
      </c>
      <c r="AM62" s="149">
        <f t="shared" si="6"/>
        <v>3.1633333333333336</v>
      </c>
      <c r="AN62" s="156">
        <f t="shared" si="5"/>
        <v>379.6</v>
      </c>
    </row>
    <row r="63" spans="1:40" x14ac:dyDescent="0.2">
      <c r="A63" s="26">
        <v>58</v>
      </c>
      <c r="B63" s="24" t="s">
        <v>298</v>
      </c>
      <c r="C63" s="33" t="s">
        <v>112</v>
      </c>
      <c r="D63" s="139">
        <v>120</v>
      </c>
      <c r="E63" s="138" t="s">
        <v>291</v>
      </c>
      <c r="F63" s="138" t="s">
        <v>291</v>
      </c>
      <c r="G63" s="138" t="s">
        <v>291</v>
      </c>
      <c r="H63" s="138" t="s">
        <v>291</v>
      </c>
      <c r="I63" s="138" t="s">
        <v>291</v>
      </c>
      <c r="J63" s="138" t="s">
        <v>291</v>
      </c>
      <c r="K63" s="138" t="s">
        <v>291</v>
      </c>
      <c r="L63" s="138" t="s">
        <v>291</v>
      </c>
      <c r="M63" s="138" t="s">
        <v>291</v>
      </c>
      <c r="N63" s="138" t="s">
        <v>291</v>
      </c>
      <c r="O63" s="138" t="s">
        <v>291</v>
      </c>
      <c r="P63" s="138" t="s">
        <v>291</v>
      </c>
      <c r="Q63" s="138">
        <v>5.76</v>
      </c>
      <c r="R63" s="138" t="s">
        <v>291</v>
      </c>
      <c r="S63" s="138" t="s">
        <v>291</v>
      </c>
      <c r="T63" s="138" t="s">
        <v>291</v>
      </c>
      <c r="U63" s="138">
        <v>2.85</v>
      </c>
      <c r="V63" s="138">
        <v>5.32</v>
      </c>
      <c r="W63" s="138" t="s">
        <v>291</v>
      </c>
      <c r="X63" s="138" t="s">
        <v>291</v>
      </c>
      <c r="Y63" s="138" t="s">
        <v>291</v>
      </c>
      <c r="Z63" s="138" t="s">
        <v>291</v>
      </c>
      <c r="AA63" s="138" t="s">
        <v>291</v>
      </c>
      <c r="AB63" s="138" t="s">
        <v>291</v>
      </c>
      <c r="AC63" s="138" t="s">
        <v>291</v>
      </c>
      <c r="AD63" s="138" t="s">
        <v>291</v>
      </c>
      <c r="AE63" s="138" t="s">
        <v>291</v>
      </c>
      <c r="AF63" s="138" t="s">
        <v>291</v>
      </c>
      <c r="AG63" s="138" t="s">
        <v>291</v>
      </c>
      <c r="AH63" s="138" t="s">
        <v>291</v>
      </c>
      <c r="AI63" s="138" t="s">
        <v>291</v>
      </c>
      <c r="AJ63" s="138" t="s">
        <v>291</v>
      </c>
      <c r="AK63" s="138" t="s">
        <v>291</v>
      </c>
      <c r="AL63" s="138" t="s">
        <v>291</v>
      </c>
      <c r="AM63" s="149">
        <f t="shared" si="6"/>
        <v>4.6433333333333335</v>
      </c>
      <c r="AN63" s="156">
        <f t="shared" si="5"/>
        <v>557.20000000000005</v>
      </c>
    </row>
    <row r="64" spans="1:40" x14ac:dyDescent="0.2">
      <c r="A64" s="26">
        <v>59</v>
      </c>
      <c r="B64" s="24" t="s">
        <v>299</v>
      </c>
      <c r="C64" s="33" t="s">
        <v>112</v>
      </c>
      <c r="D64" s="139">
        <v>120</v>
      </c>
      <c r="E64" s="138" t="s">
        <v>291</v>
      </c>
      <c r="F64" s="138" t="s">
        <v>291</v>
      </c>
      <c r="G64" s="138" t="s">
        <v>291</v>
      </c>
      <c r="H64" s="138" t="s">
        <v>291</v>
      </c>
      <c r="I64" s="138" t="s">
        <v>291</v>
      </c>
      <c r="J64" s="138" t="s">
        <v>291</v>
      </c>
      <c r="K64" s="138" t="s">
        <v>291</v>
      </c>
      <c r="L64" s="138" t="s">
        <v>291</v>
      </c>
      <c r="M64" s="138" t="s">
        <v>291</v>
      </c>
      <c r="N64" s="138" t="s">
        <v>291</v>
      </c>
      <c r="O64" s="138" t="s">
        <v>291</v>
      </c>
      <c r="P64" s="138" t="s">
        <v>291</v>
      </c>
      <c r="Q64" s="138">
        <v>5.8</v>
      </c>
      <c r="R64" s="138" t="s">
        <v>291</v>
      </c>
      <c r="S64" s="138" t="s">
        <v>291</v>
      </c>
      <c r="T64" s="138" t="s">
        <v>291</v>
      </c>
      <c r="U64" s="138">
        <v>3.7</v>
      </c>
      <c r="V64" s="138">
        <v>4.3099999999999996</v>
      </c>
      <c r="W64" s="138" t="s">
        <v>291</v>
      </c>
      <c r="X64" s="138" t="s">
        <v>291</v>
      </c>
      <c r="Y64" s="138" t="s">
        <v>291</v>
      </c>
      <c r="Z64" s="138" t="s">
        <v>291</v>
      </c>
      <c r="AA64" s="138" t="s">
        <v>291</v>
      </c>
      <c r="AB64" s="138" t="s">
        <v>291</v>
      </c>
      <c r="AC64" s="138" t="s">
        <v>291</v>
      </c>
      <c r="AD64" s="138" t="s">
        <v>291</v>
      </c>
      <c r="AE64" s="138" t="s">
        <v>291</v>
      </c>
      <c r="AF64" s="138" t="s">
        <v>291</v>
      </c>
      <c r="AG64" s="138" t="s">
        <v>291</v>
      </c>
      <c r="AH64" s="138" t="s">
        <v>291</v>
      </c>
      <c r="AI64" s="138" t="s">
        <v>291</v>
      </c>
      <c r="AJ64" s="138" t="s">
        <v>291</v>
      </c>
      <c r="AK64" s="138" t="s">
        <v>291</v>
      </c>
      <c r="AL64" s="138" t="s">
        <v>291</v>
      </c>
      <c r="AM64" s="149">
        <f t="shared" si="6"/>
        <v>4.6033333333333326</v>
      </c>
      <c r="AN64" s="156">
        <f t="shared" si="5"/>
        <v>552.39999999999986</v>
      </c>
    </row>
    <row r="65" spans="1:40" x14ac:dyDescent="0.2">
      <c r="A65" s="26">
        <v>60</v>
      </c>
      <c r="B65" s="24" t="s">
        <v>129</v>
      </c>
      <c r="C65" s="33" t="s">
        <v>130</v>
      </c>
      <c r="D65" s="139">
        <v>5</v>
      </c>
      <c r="E65" s="138" t="s">
        <v>291</v>
      </c>
      <c r="F65" s="138" t="s">
        <v>291</v>
      </c>
      <c r="G65" s="138" t="s">
        <v>291</v>
      </c>
      <c r="H65" s="138" t="s">
        <v>291</v>
      </c>
      <c r="I65" s="138" t="s">
        <v>291</v>
      </c>
      <c r="J65" s="138" t="s">
        <v>291</v>
      </c>
      <c r="K65" s="138" t="s">
        <v>291</v>
      </c>
      <c r="L65" s="138" t="s">
        <v>291</v>
      </c>
      <c r="M65" s="138" t="s">
        <v>291</v>
      </c>
      <c r="N65" s="138">
        <v>157</v>
      </c>
      <c r="O65" s="138" t="s">
        <v>291</v>
      </c>
      <c r="P65" s="138" t="s">
        <v>291</v>
      </c>
      <c r="Q65" s="138" t="s">
        <v>291</v>
      </c>
      <c r="R65" s="138" t="s">
        <v>291</v>
      </c>
      <c r="S65" s="138" t="s">
        <v>291</v>
      </c>
      <c r="T65" s="138" t="s">
        <v>291</v>
      </c>
      <c r="U65" s="138" t="s">
        <v>291</v>
      </c>
      <c r="V65" s="138" t="s">
        <v>291</v>
      </c>
      <c r="W65" s="138" t="s">
        <v>291</v>
      </c>
      <c r="X65" s="138" t="s">
        <v>291</v>
      </c>
      <c r="Y65" s="138" t="s">
        <v>291</v>
      </c>
      <c r="Z65" s="138">
        <v>97.84</v>
      </c>
      <c r="AA65" s="138" t="s">
        <v>291</v>
      </c>
      <c r="AB65" s="138" t="s">
        <v>291</v>
      </c>
      <c r="AC65" s="138">
        <v>85.44</v>
      </c>
      <c r="AD65" s="138" t="s">
        <v>291</v>
      </c>
      <c r="AE65" s="138" t="s">
        <v>291</v>
      </c>
      <c r="AF65" s="138" t="s">
        <v>291</v>
      </c>
      <c r="AG65" s="138" t="s">
        <v>291</v>
      </c>
      <c r="AH65" s="138" t="s">
        <v>291</v>
      </c>
      <c r="AI65" s="138" t="s">
        <v>291</v>
      </c>
      <c r="AJ65" s="138" t="s">
        <v>291</v>
      </c>
      <c r="AK65" s="138" t="s">
        <v>291</v>
      </c>
      <c r="AL65" s="138" t="s">
        <v>291</v>
      </c>
      <c r="AM65" s="149">
        <f>SUM(E65:AL65)/3</f>
        <v>113.42666666666666</v>
      </c>
      <c r="AN65" s="156">
        <f t="shared" si="5"/>
        <v>567.13333333333333</v>
      </c>
    </row>
    <row r="66" spans="1:40" ht="34.5" customHeight="1" x14ac:dyDescent="0.2">
      <c r="A66" s="366" t="s">
        <v>314</v>
      </c>
      <c r="B66" s="367"/>
      <c r="C66" s="367"/>
      <c r="D66" s="368"/>
      <c r="E66" s="355"/>
      <c r="F66" s="356"/>
      <c r="G66" s="356"/>
      <c r="H66" s="356"/>
      <c r="I66" s="356"/>
      <c r="J66" s="356"/>
      <c r="K66" s="356"/>
      <c r="L66" s="356"/>
      <c r="M66" s="356"/>
      <c r="N66" s="356"/>
      <c r="O66" s="356"/>
      <c r="P66" s="356"/>
      <c r="Q66" s="356"/>
      <c r="R66" s="356"/>
      <c r="S66" s="356"/>
      <c r="T66" s="356"/>
      <c r="U66" s="356"/>
      <c r="V66" s="356"/>
      <c r="W66" s="356"/>
      <c r="X66" s="356"/>
      <c r="Y66" s="356"/>
      <c r="Z66" s="356"/>
      <c r="AA66" s="356"/>
      <c r="AB66" s="356"/>
      <c r="AC66" s="356"/>
      <c r="AD66" s="356"/>
      <c r="AE66" s="356"/>
      <c r="AF66" s="356"/>
      <c r="AG66" s="356"/>
      <c r="AH66" s="356"/>
      <c r="AI66" s="356"/>
      <c r="AJ66" s="356"/>
      <c r="AK66" s="356"/>
      <c r="AL66" s="357"/>
      <c r="AM66" s="149"/>
      <c r="AN66" s="156"/>
    </row>
    <row r="67" spans="1:40" x14ac:dyDescent="0.2">
      <c r="A67" s="26">
        <v>61</v>
      </c>
      <c r="B67" s="24" t="s">
        <v>174</v>
      </c>
      <c r="C67" s="33" t="s">
        <v>137</v>
      </c>
      <c r="D67" s="139">
        <v>120</v>
      </c>
      <c r="E67" s="138">
        <v>4.0199999999999996</v>
      </c>
      <c r="F67" s="138" t="s">
        <v>291</v>
      </c>
      <c r="G67" s="138" t="s">
        <v>291</v>
      </c>
      <c r="H67" s="138" t="s">
        <v>291</v>
      </c>
      <c r="I67" s="138" t="s">
        <v>291</v>
      </c>
      <c r="J67" s="138" t="s">
        <v>291</v>
      </c>
      <c r="K67" s="138" t="s">
        <v>291</v>
      </c>
      <c r="L67" s="138" t="s">
        <v>291</v>
      </c>
      <c r="M67" s="138" t="s">
        <v>291</v>
      </c>
      <c r="N67" s="138" t="s">
        <v>291</v>
      </c>
      <c r="O67" s="138" t="s">
        <v>291</v>
      </c>
      <c r="P67" s="138" t="s">
        <v>291</v>
      </c>
      <c r="Q67" s="138" t="s">
        <v>291</v>
      </c>
      <c r="R67" s="138" t="s">
        <v>291</v>
      </c>
      <c r="S67" s="138" t="s">
        <v>291</v>
      </c>
      <c r="T67" s="138" t="s">
        <v>291</v>
      </c>
      <c r="U67" s="138" t="s">
        <v>291</v>
      </c>
      <c r="V67" s="138" t="s">
        <v>291</v>
      </c>
      <c r="W67" s="138" t="s">
        <v>291</v>
      </c>
      <c r="X67" s="138" t="s">
        <v>291</v>
      </c>
      <c r="Y67" s="138" t="s">
        <v>291</v>
      </c>
      <c r="Z67" s="138" t="s">
        <v>291</v>
      </c>
      <c r="AA67" s="138" t="s">
        <v>291</v>
      </c>
      <c r="AB67" s="138" t="s">
        <v>291</v>
      </c>
      <c r="AC67" s="138" t="s">
        <v>291</v>
      </c>
      <c r="AD67" s="138" t="s">
        <v>291</v>
      </c>
      <c r="AE67" s="138" t="s">
        <v>291</v>
      </c>
      <c r="AF67" s="138" t="s">
        <v>291</v>
      </c>
      <c r="AG67" s="138" t="s">
        <v>291</v>
      </c>
      <c r="AH67" s="138" t="s">
        <v>291</v>
      </c>
      <c r="AI67" s="138" t="s">
        <v>291</v>
      </c>
      <c r="AJ67" s="138" t="s">
        <v>291</v>
      </c>
      <c r="AK67" s="138" t="s">
        <v>291</v>
      </c>
      <c r="AL67" s="138" t="s">
        <v>291</v>
      </c>
      <c r="AM67" s="149">
        <f t="shared" ref="AM67:AM80" si="7">E67</f>
        <v>4.0199999999999996</v>
      </c>
      <c r="AN67" s="156">
        <f t="shared" ref="AN67:AN80" si="8">AM67*D67</f>
        <v>482.4</v>
      </c>
    </row>
    <row r="68" spans="1:40" x14ac:dyDescent="0.2">
      <c r="A68" s="26">
        <v>62</v>
      </c>
      <c r="B68" s="24" t="s">
        <v>175</v>
      </c>
      <c r="C68" s="33" t="s">
        <v>137</v>
      </c>
      <c r="D68" s="139">
        <v>120</v>
      </c>
      <c r="E68" s="138">
        <v>4.54</v>
      </c>
      <c r="F68" s="138" t="s">
        <v>291</v>
      </c>
      <c r="G68" s="138" t="s">
        <v>291</v>
      </c>
      <c r="H68" s="138" t="s">
        <v>291</v>
      </c>
      <c r="I68" s="138" t="s">
        <v>291</v>
      </c>
      <c r="J68" s="138" t="s">
        <v>291</v>
      </c>
      <c r="K68" s="138" t="s">
        <v>291</v>
      </c>
      <c r="L68" s="138" t="s">
        <v>291</v>
      </c>
      <c r="M68" s="138" t="s">
        <v>291</v>
      </c>
      <c r="N68" s="138" t="s">
        <v>291</v>
      </c>
      <c r="O68" s="138" t="s">
        <v>291</v>
      </c>
      <c r="P68" s="138" t="s">
        <v>291</v>
      </c>
      <c r="Q68" s="138" t="s">
        <v>291</v>
      </c>
      <c r="R68" s="138" t="s">
        <v>291</v>
      </c>
      <c r="S68" s="138" t="s">
        <v>291</v>
      </c>
      <c r="T68" s="138" t="s">
        <v>291</v>
      </c>
      <c r="U68" s="138" t="s">
        <v>291</v>
      </c>
      <c r="V68" s="138" t="s">
        <v>291</v>
      </c>
      <c r="W68" s="138" t="s">
        <v>291</v>
      </c>
      <c r="X68" s="138" t="s">
        <v>291</v>
      </c>
      <c r="Y68" s="138" t="s">
        <v>291</v>
      </c>
      <c r="Z68" s="138" t="s">
        <v>291</v>
      </c>
      <c r="AA68" s="138" t="s">
        <v>291</v>
      </c>
      <c r="AB68" s="138" t="s">
        <v>291</v>
      </c>
      <c r="AC68" s="138" t="s">
        <v>291</v>
      </c>
      <c r="AD68" s="138" t="s">
        <v>291</v>
      </c>
      <c r="AE68" s="138" t="s">
        <v>291</v>
      </c>
      <c r="AF68" s="138" t="s">
        <v>291</v>
      </c>
      <c r="AG68" s="138" t="s">
        <v>291</v>
      </c>
      <c r="AH68" s="138" t="s">
        <v>291</v>
      </c>
      <c r="AI68" s="138" t="s">
        <v>291</v>
      </c>
      <c r="AJ68" s="138" t="s">
        <v>291</v>
      </c>
      <c r="AK68" s="138" t="s">
        <v>291</v>
      </c>
      <c r="AL68" s="138" t="s">
        <v>291</v>
      </c>
      <c r="AM68" s="149">
        <f t="shared" si="7"/>
        <v>4.54</v>
      </c>
      <c r="AN68" s="156">
        <f t="shared" si="8"/>
        <v>544.79999999999995</v>
      </c>
    </row>
    <row r="69" spans="1:40" x14ac:dyDescent="0.2">
      <c r="A69" s="26">
        <v>63</v>
      </c>
      <c r="B69" s="24" t="s">
        <v>407</v>
      </c>
      <c r="C69" s="33" t="s">
        <v>112</v>
      </c>
      <c r="D69" s="139">
        <v>30</v>
      </c>
      <c r="E69" s="138">
        <v>1.1599999999999999</v>
      </c>
      <c r="F69" s="138" t="s">
        <v>291</v>
      </c>
      <c r="G69" s="138" t="s">
        <v>291</v>
      </c>
      <c r="H69" s="138" t="s">
        <v>291</v>
      </c>
      <c r="I69" s="138" t="s">
        <v>291</v>
      </c>
      <c r="J69" s="138" t="s">
        <v>291</v>
      </c>
      <c r="K69" s="138" t="s">
        <v>291</v>
      </c>
      <c r="L69" s="138" t="s">
        <v>291</v>
      </c>
      <c r="M69" s="138" t="s">
        <v>291</v>
      </c>
      <c r="N69" s="138" t="s">
        <v>291</v>
      </c>
      <c r="O69" s="138" t="s">
        <v>291</v>
      </c>
      <c r="P69" s="138" t="s">
        <v>291</v>
      </c>
      <c r="Q69" s="138" t="s">
        <v>291</v>
      </c>
      <c r="R69" s="138" t="s">
        <v>291</v>
      </c>
      <c r="S69" s="138" t="s">
        <v>291</v>
      </c>
      <c r="T69" s="138" t="s">
        <v>291</v>
      </c>
      <c r="U69" s="138" t="s">
        <v>291</v>
      </c>
      <c r="V69" s="138" t="s">
        <v>291</v>
      </c>
      <c r="W69" s="138" t="s">
        <v>291</v>
      </c>
      <c r="X69" s="138" t="s">
        <v>291</v>
      </c>
      <c r="Y69" s="138" t="s">
        <v>291</v>
      </c>
      <c r="Z69" s="138" t="s">
        <v>291</v>
      </c>
      <c r="AA69" s="138" t="s">
        <v>291</v>
      </c>
      <c r="AB69" s="138" t="s">
        <v>291</v>
      </c>
      <c r="AC69" s="138" t="s">
        <v>291</v>
      </c>
      <c r="AD69" s="138" t="s">
        <v>291</v>
      </c>
      <c r="AE69" s="138" t="s">
        <v>291</v>
      </c>
      <c r="AF69" s="138" t="s">
        <v>291</v>
      </c>
      <c r="AG69" s="138" t="s">
        <v>291</v>
      </c>
      <c r="AH69" s="138" t="s">
        <v>291</v>
      </c>
      <c r="AI69" s="138" t="s">
        <v>291</v>
      </c>
      <c r="AJ69" s="138" t="s">
        <v>291</v>
      </c>
      <c r="AK69" s="138" t="s">
        <v>291</v>
      </c>
      <c r="AL69" s="138" t="s">
        <v>291</v>
      </c>
      <c r="AM69" s="149">
        <f t="shared" si="7"/>
        <v>1.1599999999999999</v>
      </c>
      <c r="AN69" s="156">
        <f t="shared" si="8"/>
        <v>34.799999999999997</v>
      </c>
    </row>
    <row r="70" spans="1:40" x14ac:dyDescent="0.2">
      <c r="A70" s="26">
        <v>64</v>
      </c>
      <c r="B70" s="24" t="s">
        <v>408</v>
      </c>
      <c r="C70" s="33" t="s">
        <v>112</v>
      </c>
      <c r="D70" s="139">
        <v>30</v>
      </c>
      <c r="E70" s="138">
        <v>1.31</v>
      </c>
      <c r="F70" s="138" t="s">
        <v>291</v>
      </c>
      <c r="G70" s="138" t="s">
        <v>291</v>
      </c>
      <c r="H70" s="138" t="s">
        <v>291</v>
      </c>
      <c r="I70" s="138" t="s">
        <v>291</v>
      </c>
      <c r="J70" s="138" t="s">
        <v>291</v>
      </c>
      <c r="K70" s="138" t="s">
        <v>291</v>
      </c>
      <c r="L70" s="138" t="s">
        <v>291</v>
      </c>
      <c r="M70" s="138" t="s">
        <v>291</v>
      </c>
      <c r="N70" s="138" t="s">
        <v>291</v>
      </c>
      <c r="O70" s="138" t="s">
        <v>291</v>
      </c>
      <c r="P70" s="138" t="s">
        <v>291</v>
      </c>
      <c r="Q70" s="138" t="s">
        <v>291</v>
      </c>
      <c r="R70" s="138" t="s">
        <v>291</v>
      </c>
      <c r="S70" s="138" t="s">
        <v>291</v>
      </c>
      <c r="T70" s="138" t="s">
        <v>291</v>
      </c>
      <c r="U70" s="138" t="s">
        <v>291</v>
      </c>
      <c r="V70" s="138" t="s">
        <v>291</v>
      </c>
      <c r="W70" s="138" t="s">
        <v>291</v>
      </c>
      <c r="X70" s="138" t="s">
        <v>291</v>
      </c>
      <c r="Y70" s="138" t="s">
        <v>291</v>
      </c>
      <c r="Z70" s="138" t="s">
        <v>291</v>
      </c>
      <c r="AA70" s="138" t="s">
        <v>291</v>
      </c>
      <c r="AB70" s="138" t="s">
        <v>291</v>
      </c>
      <c r="AC70" s="138" t="s">
        <v>291</v>
      </c>
      <c r="AD70" s="138" t="s">
        <v>291</v>
      </c>
      <c r="AE70" s="138" t="s">
        <v>291</v>
      </c>
      <c r="AF70" s="138" t="s">
        <v>291</v>
      </c>
      <c r="AG70" s="138" t="s">
        <v>291</v>
      </c>
      <c r="AH70" s="138" t="s">
        <v>291</v>
      </c>
      <c r="AI70" s="138" t="s">
        <v>291</v>
      </c>
      <c r="AJ70" s="138" t="s">
        <v>291</v>
      </c>
      <c r="AK70" s="138" t="s">
        <v>291</v>
      </c>
      <c r="AL70" s="138" t="s">
        <v>291</v>
      </c>
      <c r="AM70" s="149">
        <f t="shared" si="7"/>
        <v>1.31</v>
      </c>
      <c r="AN70" s="156">
        <f t="shared" si="8"/>
        <v>39.300000000000004</v>
      </c>
    </row>
    <row r="71" spans="1:40" x14ac:dyDescent="0.2">
      <c r="A71" s="26">
        <v>65</v>
      </c>
      <c r="B71" s="24" t="s">
        <v>365</v>
      </c>
      <c r="C71" s="33" t="s">
        <v>112</v>
      </c>
      <c r="D71" s="139">
        <v>12</v>
      </c>
      <c r="E71" s="138">
        <v>11.13</v>
      </c>
      <c r="F71" s="138" t="s">
        <v>291</v>
      </c>
      <c r="G71" s="138" t="s">
        <v>291</v>
      </c>
      <c r="H71" s="138" t="s">
        <v>291</v>
      </c>
      <c r="I71" s="138" t="s">
        <v>291</v>
      </c>
      <c r="J71" s="138" t="s">
        <v>291</v>
      </c>
      <c r="K71" s="138" t="s">
        <v>291</v>
      </c>
      <c r="L71" s="138" t="s">
        <v>291</v>
      </c>
      <c r="M71" s="138" t="s">
        <v>291</v>
      </c>
      <c r="N71" s="138" t="s">
        <v>291</v>
      </c>
      <c r="O71" s="138" t="s">
        <v>291</v>
      </c>
      <c r="P71" s="138" t="s">
        <v>291</v>
      </c>
      <c r="Q71" s="138" t="s">
        <v>291</v>
      </c>
      <c r="R71" s="138" t="s">
        <v>291</v>
      </c>
      <c r="S71" s="138" t="s">
        <v>291</v>
      </c>
      <c r="T71" s="138" t="s">
        <v>291</v>
      </c>
      <c r="U71" s="138" t="s">
        <v>291</v>
      </c>
      <c r="V71" s="138" t="s">
        <v>291</v>
      </c>
      <c r="W71" s="138" t="s">
        <v>291</v>
      </c>
      <c r="X71" s="138" t="s">
        <v>291</v>
      </c>
      <c r="Y71" s="138" t="s">
        <v>291</v>
      </c>
      <c r="Z71" s="138" t="s">
        <v>291</v>
      </c>
      <c r="AA71" s="138" t="s">
        <v>291</v>
      </c>
      <c r="AB71" s="138" t="s">
        <v>291</v>
      </c>
      <c r="AC71" s="138" t="s">
        <v>291</v>
      </c>
      <c r="AD71" s="138" t="s">
        <v>291</v>
      </c>
      <c r="AE71" s="138" t="s">
        <v>291</v>
      </c>
      <c r="AF71" s="138" t="s">
        <v>291</v>
      </c>
      <c r="AG71" s="138" t="s">
        <v>291</v>
      </c>
      <c r="AH71" s="138" t="s">
        <v>291</v>
      </c>
      <c r="AI71" s="138" t="s">
        <v>291</v>
      </c>
      <c r="AJ71" s="138" t="s">
        <v>291</v>
      </c>
      <c r="AK71" s="138" t="s">
        <v>291</v>
      </c>
      <c r="AL71" s="138" t="s">
        <v>291</v>
      </c>
      <c r="AM71" s="149">
        <f t="shared" si="7"/>
        <v>11.13</v>
      </c>
      <c r="AN71" s="156">
        <f t="shared" si="8"/>
        <v>133.56</v>
      </c>
    </row>
    <row r="72" spans="1:40" x14ac:dyDescent="0.2">
      <c r="A72" s="26">
        <v>66</v>
      </c>
      <c r="B72" s="24" t="s">
        <v>160</v>
      </c>
      <c r="C72" s="33" t="s">
        <v>112</v>
      </c>
      <c r="D72" s="139">
        <v>80</v>
      </c>
      <c r="E72" s="138">
        <v>0.65</v>
      </c>
      <c r="F72" s="138" t="s">
        <v>291</v>
      </c>
      <c r="G72" s="138" t="s">
        <v>291</v>
      </c>
      <c r="H72" s="138" t="s">
        <v>291</v>
      </c>
      <c r="I72" s="138" t="s">
        <v>291</v>
      </c>
      <c r="J72" s="138" t="s">
        <v>291</v>
      </c>
      <c r="K72" s="138" t="s">
        <v>291</v>
      </c>
      <c r="L72" s="138" t="s">
        <v>291</v>
      </c>
      <c r="M72" s="138" t="s">
        <v>291</v>
      </c>
      <c r="N72" s="138" t="s">
        <v>291</v>
      </c>
      <c r="O72" s="138" t="s">
        <v>291</v>
      </c>
      <c r="P72" s="138" t="s">
        <v>291</v>
      </c>
      <c r="Q72" s="138" t="s">
        <v>291</v>
      </c>
      <c r="R72" s="138" t="s">
        <v>291</v>
      </c>
      <c r="S72" s="138" t="s">
        <v>291</v>
      </c>
      <c r="T72" s="138" t="s">
        <v>291</v>
      </c>
      <c r="U72" s="138" t="s">
        <v>291</v>
      </c>
      <c r="V72" s="138" t="s">
        <v>291</v>
      </c>
      <c r="W72" s="138" t="s">
        <v>291</v>
      </c>
      <c r="X72" s="138" t="s">
        <v>291</v>
      </c>
      <c r="Y72" s="138" t="s">
        <v>291</v>
      </c>
      <c r="Z72" s="138" t="s">
        <v>291</v>
      </c>
      <c r="AA72" s="138" t="s">
        <v>291</v>
      </c>
      <c r="AB72" s="138" t="s">
        <v>291</v>
      </c>
      <c r="AC72" s="138" t="s">
        <v>291</v>
      </c>
      <c r="AD72" s="138" t="s">
        <v>291</v>
      </c>
      <c r="AE72" s="138" t="s">
        <v>291</v>
      </c>
      <c r="AF72" s="138" t="s">
        <v>291</v>
      </c>
      <c r="AG72" s="138" t="s">
        <v>291</v>
      </c>
      <c r="AH72" s="138" t="s">
        <v>291</v>
      </c>
      <c r="AI72" s="138" t="s">
        <v>291</v>
      </c>
      <c r="AJ72" s="138" t="s">
        <v>291</v>
      </c>
      <c r="AK72" s="138" t="s">
        <v>291</v>
      </c>
      <c r="AL72" s="138" t="s">
        <v>291</v>
      </c>
      <c r="AM72" s="149">
        <f t="shared" si="7"/>
        <v>0.65</v>
      </c>
      <c r="AN72" s="156">
        <f t="shared" si="8"/>
        <v>52</v>
      </c>
    </row>
    <row r="73" spans="1:40" x14ac:dyDescent="0.2">
      <c r="A73" s="26">
        <v>67</v>
      </c>
      <c r="B73" s="24" t="s">
        <v>161</v>
      </c>
      <c r="C73" s="33" t="s">
        <v>112</v>
      </c>
      <c r="D73" s="139">
        <v>80</v>
      </c>
      <c r="E73" s="138">
        <v>0.79</v>
      </c>
      <c r="F73" s="138" t="s">
        <v>291</v>
      </c>
      <c r="G73" s="138" t="s">
        <v>291</v>
      </c>
      <c r="H73" s="138" t="s">
        <v>291</v>
      </c>
      <c r="I73" s="138" t="s">
        <v>291</v>
      </c>
      <c r="J73" s="138" t="s">
        <v>291</v>
      </c>
      <c r="K73" s="138" t="s">
        <v>291</v>
      </c>
      <c r="L73" s="138" t="s">
        <v>291</v>
      </c>
      <c r="M73" s="138" t="s">
        <v>291</v>
      </c>
      <c r="N73" s="138" t="s">
        <v>291</v>
      </c>
      <c r="O73" s="138" t="s">
        <v>291</v>
      </c>
      <c r="P73" s="138" t="s">
        <v>291</v>
      </c>
      <c r="Q73" s="138" t="s">
        <v>291</v>
      </c>
      <c r="R73" s="138" t="s">
        <v>291</v>
      </c>
      <c r="S73" s="138" t="s">
        <v>291</v>
      </c>
      <c r="T73" s="138" t="s">
        <v>291</v>
      </c>
      <c r="U73" s="138" t="s">
        <v>291</v>
      </c>
      <c r="V73" s="138" t="s">
        <v>291</v>
      </c>
      <c r="W73" s="138" t="s">
        <v>291</v>
      </c>
      <c r="X73" s="138" t="s">
        <v>291</v>
      </c>
      <c r="Y73" s="138" t="s">
        <v>291</v>
      </c>
      <c r="Z73" s="138" t="s">
        <v>291</v>
      </c>
      <c r="AA73" s="138" t="s">
        <v>291</v>
      </c>
      <c r="AB73" s="138" t="s">
        <v>291</v>
      </c>
      <c r="AC73" s="138" t="s">
        <v>291</v>
      </c>
      <c r="AD73" s="138" t="s">
        <v>291</v>
      </c>
      <c r="AE73" s="138" t="s">
        <v>291</v>
      </c>
      <c r="AF73" s="138" t="s">
        <v>291</v>
      </c>
      <c r="AG73" s="138" t="s">
        <v>291</v>
      </c>
      <c r="AH73" s="138" t="s">
        <v>291</v>
      </c>
      <c r="AI73" s="138" t="s">
        <v>291</v>
      </c>
      <c r="AJ73" s="138" t="s">
        <v>291</v>
      </c>
      <c r="AK73" s="138" t="s">
        <v>291</v>
      </c>
      <c r="AL73" s="138" t="s">
        <v>291</v>
      </c>
      <c r="AM73" s="149">
        <f t="shared" si="7"/>
        <v>0.79</v>
      </c>
      <c r="AN73" s="156">
        <f t="shared" si="8"/>
        <v>63.2</v>
      </c>
    </row>
    <row r="74" spans="1:40" x14ac:dyDescent="0.2">
      <c r="A74" s="26">
        <v>68</v>
      </c>
      <c r="B74" s="24" t="s">
        <v>162</v>
      </c>
      <c r="C74" s="33" t="s">
        <v>112</v>
      </c>
      <c r="D74" s="139">
        <v>80</v>
      </c>
      <c r="E74" s="138">
        <v>0.84</v>
      </c>
      <c r="F74" s="138" t="s">
        <v>291</v>
      </c>
      <c r="G74" s="138" t="s">
        <v>291</v>
      </c>
      <c r="H74" s="138" t="s">
        <v>291</v>
      </c>
      <c r="I74" s="138" t="s">
        <v>291</v>
      </c>
      <c r="J74" s="138" t="s">
        <v>291</v>
      </c>
      <c r="K74" s="138" t="s">
        <v>291</v>
      </c>
      <c r="L74" s="138" t="s">
        <v>291</v>
      </c>
      <c r="M74" s="138" t="s">
        <v>291</v>
      </c>
      <c r="N74" s="138" t="s">
        <v>291</v>
      </c>
      <c r="O74" s="138" t="s">
        <v>291</v>
      </c>
      <c r="P74" s="138" t="s">
        <v>291</v>
      </c>
      <c r="Q74" s="138" t="s">
        <v>291</v>
      </c>
      <c r="R74" s="138" t="s">
        <v>291</v>
      </c>
      <c r="S74" s="138" t="s">
        <v>291</v>
      </c>
      <c r="T74" s="138" t="s">
        <v>291</v>
      </c>
      <c r="U74" s="138" t="s">
        <v>291</v>
      </c>
      <c r="V74" s="138" t="s">
        <v>291</v>
      </c>
      <c r="W74" s="138" t="s">
        <v>291</v>
      </c>
      <c r="X74" s="138" t="s">
        <v>291</v>
      </c>
      <c r="Y74" s="138" t="s">
        <v>291</v>
      </c>
      <c r="Z74" s="138" t="s">
        <v>291</v>
      </c>
      <c r="AA74" s="138" t="s">
        <v>291</v>
      </c>
      <c r="AB74" s="138" t="s">
        <v>291</v>
      </c>
      <c r="AC74" s="138" t="s">
        <v>291</v>
      </c>
      <c r="AD74" s="138" t="s">
        <v>291</v>
      </c>
      <c r="AE74" s="138" t="s">
        <v>291</v>
      </c>
      <c r="AF74" s="138" t="s">
        <v>291</v>
      </c>
      <c r="AG74" s="138" t="s">
        <v>291</v>
      </c>
      <c r="AH74" s="138" t="s">
        <v>291</v>
      </c>
      <c r="AI74" s="138" t="s">
        <v>291</v>
      </c>
      <c r="AJ74" s="138" t="s">
        <v>291</v>
      </c>
      <c r="AK74" s="138" t="s">
        <v>291</v>
      </c>
      <c r="AL74" s="138" t="s">
        <v>291</v>
      </c>
      <c r="AM74" s="149">
        <f t="shared" si="7"/>
        <v>0.84</v>
      </c>
      <c r="AN74" s="156">
        <f t="shared" si="8"/>
        <v>67.2</v>
      </c>
    </row>
    <row r="75" spans="1:40" x14ac:dyDescent="0.2">
      <c r="A75" s="26">
        <v>69</v>
      </c>
      <c r="B75" s="24" t="s">
        <v>163</v>
      </c>
      <c r="C75" s="33" t="s">
        <v>112</v>
      </c>
      <c r="D75" s="139">
        <v>80</v>
      </c>
      <c r="E75" s="138">
        <v>0.9</v>
      </c>
      <c r="F75" s="138" t="s">
        <v>291</v>
      </c>
      <c r="G75" s="138" t="s">
        <v>291</v>
      </c>
      <c r="H75" s="138" t="s">
        <v>291</v>
      </c>
      <c r="I75" s="138" t="s">
        <v>291</v>
      </c>
      <c r="J75" s="138" t="s">
        <v>291</v>
      </c>
      <c r="K75" s="138" t="s">
        <v>291</v>
      </c>
      <c r="L75" s="138" t="s">
        <v>291</v>
      </c>
      <c r="M75" s="138" t="s">
        <v>291</v>
      </c>
      <c r="N75" s="138" t="s">
        <v>291</v>
      </c>
      <c r="O75" s="138" t="s">
        <v>291</v>
      </c>
      <c r="P75" s="138" t="s">
        <v>291</v>
      </c>
      <c r="Q75" s="138" t="s">
        <v>291</v>
      </c>
      <c r="R75" s="138" t="s">
        <v>291</v>
      </c>
      <c r="S75" s="138" t="s">
        <v>291</v>
      </c>
      <c r="T75" s="138" t="s">
        <v>291</v>
      </c>
      <c r="U75" s="138" t="s">
        <v>291</v>
      </c>
      <c r="V75" s="138" t="s">
        <v>291</v>
      </c>
      <c r="W75" s="138" t="s">
        <v>291</v>
      </c>
      <c r="X75" s="138" t="s">
        <v>291</v>
      </c>
      <c r="Y75" s="138" t="s">
        <v>291</v>
      </c>
      <c r="Z75" s="138" t="s">
        <v>291</v>
      </c>
      <c r="AA75" s="138" t="s">
        <v>291</v>
      </c>
      <c r="AB75" s="138" t="s">
        <v>291</v>
      </c>
      <c r="AC75" s="138" t="s">
        <v>291</v>
      </c>
      <c r="AD75" s="138" t="s">
        <v>291</v>
      </c>
      <c r="AE75" s="138" t="s">
        <v>291</v>
      </c>
      <c r="AF75" s="138" t="s">
        <v>291</v>
      </c>
      <c r="AG75" s="138" t="s">
        <v>291</v>
      </c>
      <c r="AH75" s="138" t="s">
        <v>291</v>
      </c>
      <c r="AI75" s="138" t="s">
        <v>291</v>
      </c>
      <c r="AJ75" s="138" t="s">
        <v>291</v>
      </c>
      <c r="AK75" s="138" t="s">
        <v>291</v>
      </c>
      <c r="AL75" s="138" t="s">
        <v>291</v>
      </c>
      <c r="AM75" s="149">
        <f t="shared" si="7"/>
        <v>0.9</v>
      </c>
      <c r="AN75" s="156">
        <f t="shared" si="8"/>
        <v>72</v>
      </c>
    </row>
    <row r="76" spans="1:40" x14ac:dyDescent="0.2">
      <c r="A76" s="26">
        <v>70</v>
      </c>
      <c r="B76" s="24" t="s">
        <v>409</v>
      </c>
      <c r="C76" s="33" t="s">
        <v>112</v>
      </c>
      <c r="D76" s="139">
        <v>12</v>
      </c>
      <c r="E76" s="138">
        <v>30.21</v>
      </c>
      <c r="F76" s="138" t="s">
        <v>291</v>
      </c>
      <c r="G76" s="138" t="s">
        <v>291</v>
      </c>
      <c r="H76" s="138" t="s">
        <v>291</v>
      </c>
      <c r="I76" s="138" t="s">
        <v>291</v>
      </c>
      <c r="J76" s="138" t="s">
        <v>291</v>
      </c>
      <c r="K76" s="138" t="s">
        <v>291</v>
      </c>
      <c r="L76" s="138" t="s">
        <v>291</v>
      </c>
      <c r="M76" s="138" t="s">
        <v>291</v>
      </c>
      <c r="N76" s="138" t="s">
        <v>291</v>
      </c>
      <c r="O76" s="138" t="s">
        <v>291</v>
      </c>
      <c r="P76" s="138" t="s">
        <v>291</v>
      </c>
      <c r="Q76" s="138" t="s">
        <v>291</v>
      </c>
      <c r="R76" s="138" t="s">
        <v>291</v>
      </c>
      <c r="S76" s="138" t="s">
        <v>291</v>
      </c>
      <c r="T76" s="138" t="s">
        <v>291</v>
      </c>
      <c r="U76" s="138" t="s">
        <v>291</v>
      </c>
      <c r="V76" s="138" t="s">
        <v>291</v>
      </c>
      <c r="W76" s="138" t="s">
        <v>291</v>
      </c>
      <c r="X76" s="138" t="s">
        <v>291</v>
      </c>
      <c r="Y76" s="138" t="s">
        <v>291</v>
      </c>
      <c r="Z76" s="138" t="s">
        <v>291</v>
      </c>
      <c r="AA76" s="138" t="s">
        <v>291</v>
      </c>
      <c r="AB76" s="138" t="s">
        <v>291</v>
      </c>
      <c r="AC76" s="138" t="s">
        <v>291</v>
      </c>
      <c r="AD76" s="138" t="s">
        <v>291</v>
      </c>
      <c r="AE76" s="138" t="s">
        <v>291</v>
      </c>
      <c r="AF76" s="138" t="s">
        <v>291</v>
      </c>
      <c r="AG76" s="138" t="s">
        <v>291</v>
      </c>
      <c r="AH76" s="138" t="s">
        <v>291</v>
      </c>
      <c r="AI76" s="138" t="s">
        <v>291</v>
      </c>
      <c r="AJ76" s="138" t="s">
        <v>291</v>
      </c>
      <c r="AK76" s="138" t="s">
        <v>291</v>
      </c>
      <c r="AL76" s="138" t="s">
        <v>291</v>
      </c>
      <c r="AM76" s="149">
        <f t="shared" si="7"/>
        <v>30.21</v>
      </c>
      <c r="AN76" s="156">
        <f t="shared" si="8"/>
        <v>362.52</v>
      </c>
    </row>
    <row r="77" spans="1:40" x14ac:dyDescent="0.2">
      <c r="A77" s="26">
        <v>71</v>
      </c>
      <c r="B77" s="24" t="s">
        <v>164</v>
      </c>
      <c r="C77" s="33" t="s">
        <v>137</v>
      </c>
      <c r="D77" s="139">
        <v>300</v>
      </c>
      <c r="E77" s="138">
        <v>3.04</v>
      </c>
      <c r="F77" s="138" t="s">
        <v>291</v>
      </c>
      <c r="G77" s="138" t="s">
        <v>291</v>
      </c>
      <c r="H77" s="138" t="s">
        <v>291</v>
      </c>
      <c r="I77" s="138" t="s">
        <v>291</v>
      </c>
      <c r="J77" s="138" t="s">
        <v>291</v>
      </c>
      <c r="K77" s="138" t="s">
        <v>291</v>
      </c>
      <c r="L77" s="138" t="s">
        <v>291</v>
      </c>
      <c r="M77" s="138" t="s">
        <v>291</v>
      </c>
      <c r="N77" s="138" t="s">
        <v>291</v>
      </c>
      <c r="O77" s="138" t="s">
        <v>291</v>
      </c>
      <c r="P77" s="138" t="s">
        <v>291</v>
      </c>
      <c r="Q77" s="138" t="s">
        <v>291</v>
      </c>
      <c r="R77" s="138" t="s">
        <v>291</v>
      </c>
      <c r="S77" s="138" t="s">
        <v>291</v>
      </c>
      <c r="T77" s="138" t="s">
        <v>291</v>
      </c>
      <c r="U77" s="138" t="s">
        <v>291</v>
      </c>
      <c r="V77" s="138" t="s">
        <v>291</v>
      </c>
      <c r="W77" s="138" t="s">
        <v>291</v>
      </c>
      <c r="X77" s="138" t="s">
        <v>291</v>
      </c>
      <c r="Y77" s="138" t="s">
        <v>291</v>
      </c>
      <c r="Z77" s="138" t="s">
        <v>291</v>
      </c>
      <c r="AA77" s="138" t="s">
        <v>291</v>
      </c>
      <c r="AB77" s="138" t="s">
        <v>291</v>
      </c>
      <c r="AC77" s="138" t="s">
        <v>291</v>
      </c>
      <c r="AD77" s="138" t="s">
        <v>291</v>
      </c>
      <c r="AE77" s="138" t="s">
        <v>291</v>
      </c>
      <c r="AF77" s="138" t="s">
        <v>291</v>
      </c>
      <c r="AG77" s="138" t="s">
        <v>291</v>
      </c>
      <c r="AH77" s="138" t="s">
        <v>291</v>
      </c>
      <c r="AI77" s="138" t="s">
        <v>291</v>
      </c>
      <c r="AJ77" s="138" t="s">
        <v>291</v>
      </c>
      <c r="AK77" s="138" t="s">
        <v>291</v>
      </c>
      <c r="AL77" s="138" t="s">
        <v>291</v>
      </c>
      <c r="AM77" s="149">
        <f t="shared" si="7"/>
        <v>3.04</v>
      </c>
      <c r="AN77" s="156">
        <f t="shared" si="8"/>
        <v>912</v>
      </c>
    </row>
    <row r="78" spans="1:40" x14ac:dyDescent="0.2">
      <c r="A78" s="26">
        <v>72</v>
      </c>
      <c r="B78" s="24" t="s">
        <v>142</v>
      </c>
      <c r="C78" s="33" t="s">
        <v>112</v>
      </c>
      <c r="D78" s="139">
        <v>60</v>
      </c>
      <c r="E78" s="138">
        <v>1.36</v>
      </c>
      <c r="F78" s="138" t="s">
        <v>291</v>
      </c>
      <c r="G78" s="138" t="s">
        <v>291</v>
      </c>
      <c r="H78" s="138" t="s">
        <v>291</v>
      </c>
      <c r="I78" s="138" t="s">
        <v>291</v>
      </c>
      <c r="J78" s="138" t="s">
        <v>291</v>
      </c>
      <c r="K78" s="138" t="s">
        <v>291</v>
      </c>
      <c r="L78" s="138" t="s">
        <v>291</v>
      </c>
      <c r="M78" s="138" t="s">
        <v>291</v>
      </c>
      <c r="N78" s="138" t="s">
        <v>291</v>
      </c>
      <c r="O78" s="138" t="s">
        <v>291</v>
      </c>
      <c r="P78" s="138" t="s">
        <v>291</v>
      </c>
      <c r="Q78" s="138" t="s">
        <v>291</v>
      </c>
      <c r="R78" s="138" t="s">
        <v>291</v>
      </c>
      <c r="S78" s="138" t="s">
        <v>291</v>
      </c>
      <c r="T78" s="138" t="s">
        <v>291</v>
      </c>
      <c r="U78" s="138" t="s">
        <v>291</v>
      </c>
      <c r="V78" s="138" t="s">
        <v>291</v>
      </c>
      <c r="W78" s="138" t="s">
        <v>291</v>
      </c>
      <c r="X78" s="138" t="s">
        <v>291</v>
      </c>
      <c r="Y78" s="138" t="s">
        <v>291</v>
      </c>
      <c r="Z78" s="138" t="s">
        <v>291</v>
      </c>
      <c r="AA78" s="138" t="s">
        <v>291</v>
      </c>
      <c r="AB78" s="138" t="s">
        <v>291</v>
      </c>
      <c r="AC78" s="138" t="s">
        <v>291</v>
      </c>
      <c r="AD78" s="138" t="s">
        <v>291</v>
      </c>
      <c r="AE78" s="138" t="s">
        <v>291</v>
      </c>
      <c r="AF78" s="138" t="s">
        <v>291</v>
      </c>
      <c r="AG78" s="138" t="s">
        <v>291</v>
      </c>
      <c r="AH78" s="138" t="s">
        <v>291</v>
      </c>
      <c r="AI78" s="138" t="s">
        <v>291</v>
      </c>
      <c r="AJ78" s="138" t="s">
        <v>291</v>
      </c>
      <c r="AK78" s="138" t="s">
        <v>291</v>
      </c>
      <c r="AL78" s="138" t="s">
        <v>291</v>
      </c>
      <c r="AM78" s="149">
        <f t="shared" si="7"/>
        <v>1.36</v>
      </c>
      <c r="AN78" s="156">
        <f t="shared" si="8"/>
        <v>81.600000000000009</v>
      </c>
    </row>
    <row r="79" spans="1:40" x14ac:dyDescent="0.2">
      <c r="A79" s="26">
        <v>73</v>
      </c>
      <c r="B79" s="24" t="s">
        <v>143</v>
      </c>
      <c r="C79" s="33" t="s">
        <v>112</v>
      </c>
      <c r="D79" s="139">
        <v>60</v>
      </c>
      <c r="E79" s="138">
        <v>1.36</v>
      </c>
      <c r="F79" s="138" t="s">
        <v>291</v>
      </c>
      <c r="G79" s="138" t="s">
        <v>291</v>
      </c>
      <c r="H79" s="138" t="s">
        <v>291</v>
      </c>
      <c r="I79" s="138" t="s">
        <v>291</v>
      </c>
      <c r="J79" s="138" t="s">
        <v>291</v>
      </c>
      <c r="K79" s="138" t="s">
        <v>291</v>
      </c>
      <c r="L79" s="138" t="s">
        <v>291</v>
      </c>
      <c r="M79" s="138" t="s">
        <v>291</v>
      </c>
      <c r="N79" s="138" t="s">
        <v>291</v>
      </c>
      <c r="O79" s="138" t="s">
        <v>291</v>
      </c>
      <c r="P79" s="138" t="s">
        <v>291</v>
      </c>
      <c r="Q79" s="138" t="s">
        <v>291</v>
      </c>
      <c r="R79" s="138" t="s">
        <v>291</v>
      </c>
      <c r="S79" s="138" t="s">
        <v>291</v>
      </c>
      <c r="T79" s="138" t="s">
        <v>291</v>
      </c>
      <c r="U79" s="138" t="s">
        <v>291</v>
      </c>
      <c r="V79" s="138" t="s">
        <v>291</v>
      </c>
      <c r="W79" s="138" t="s">
        <v>291</v>
      </c>
      <c r="X79" s="138" t="s">
        <v>291</v>
      </c>
      <c r="Y79" s="138" t="s">
        <v>291</v>
      </c>
      <c r="Z79" s="138" t="s">
        <v>291</v>
      </c>
      <c r="AA79" s="138" t="s">
        <v>291</v>
      </c>
      <c r="AB79" s="138" t="s">
        <v>291</v>
      </c>
      <c r="AC79" s="138" t="s">
        <v>291</v>
      </c>
      <c r="AD79" s="138" t="s">
        <v>291</v>
      </c>
      <c r="AE79" s="138" t="s">
        <v>291</v>
      </c>
      <c r="AF79" s="138" t="s">
        <v>291</v>
      </c>
      <c r="AG79" s="138" t="s">
        <v>291</v>
      </c>
      <c r="AH79" s="138" t="s">
        <v>291</v>
      </c>
      <c r="AI79" s="138" t="s">
        <v>291</v>
      </c>
      <c r="AJ79" s="138" t="s">
        <v>291</v>
      </c>
      <c r="AK79" s="138" t="s">
        <v>291</v>
      </c>
      <c r="AL79" s="138" t="s">
        <v>291</v>
      </c>
      <c r="AM79" s="149">
        <f t="shared" si="7"/>
        <v>1.36</v>
      </c>
      <c r="AN79" s="156">
        <f t="shared" si="8"/>
        <v>81.600000000000009</v>
      </c>
    </row>
    <row r="80" spans="1:40" x14ac:dyDescent="0.2">
      <c r="A80" s="26">
        <v>74</v>
      </c>
      <c r="B80" s="24" t="s">
        <v>135</v>
      </c>
      <c r="C80" s="33" t="s">
        <v>112</v>
      </c>
      <c r="D80" s="139">
        <v>60</v>
      </c>
      <c r="E80" s="138">
        <v>0.65</v>
      </c>
      <c r="F80" s="138" t="s">
        <v>291</v>
      </c>
      <c r="G80" s="138" t="s">
        <v>291</v>
      </c>
      <c r="H80" s="138" t="s">
        <v>291</v>
      </c>
      <c r="I80" s="138" t="s">
        <v>291</v>
      </c>
      <c r="J80" s="138" t="s">
        <v>291</v>
      </c>
      <c r="K80" s="138" t="s">
        <v>291</v>
      </c>
      <c r="L80" s="138" t="s">
        <v>291</v>
      </c>
      <c r="M80" s="138" t="s">
        <v>291</v>
      </c>
      <c r="N80" s="138" t="s">
        <v>291</v>
      </c>
      <c r="O80" s="138" t="s">
        <v>291</v>
      </c>
      <c r="P80" s="138" t="s">
        <v>291</v>
      </c>
      <c r="Q80" s="138" t="s">
        <v>291</v>
      </c>
      <c r="R80" s="138" t="s">
        <v>291</v>
      </c>
      <c r="S80" s="138" t="s">
        <v>291</v>
      </c>
      <c r="T80" s="138" t="s">
        <v>291</v>
      </c>
      <c r="U80" s="138" t="s">
        <v>291</v>
      </c>
      <c r="V80" s="138" t="s">
        <v>291</v>
      </c>
      <c r="W80" s="138" t="s">
        <v>291</v>
      </c>
      <c r="X80" s="138" t="s">
        <v>291</v>
      </c>
      <c r="Y80" s="138" t="s">
        <v>291</v>
      </c>
      <c r="Z80" s="138" t="s">
        <v>291</v>
      </c>
      <c r="AA80" s="138" t="s">
        <v>291</v>
      </c>
      <c r="AB80" s="138" t="s">
        <v>291</v>
      </c>
      <c r="AC80" s="138" t="s">
        <v>291</v>
      </c>
      <c r="AD80" s="138" t="s">
        <v>291</v>
      </c>
      <c r="AE80" s="138" t="s">
        <v>291</v>
      </c>
      <c r="AF80" s="138" t="s">
        <v>291</v>
      </c>
      <c r="AG80" s="138" t="s">
        <v>291</v>
      </c>
      <c r="AH80" s="138" t="s">
        <v>291</v>
      </c>
      <c r="AI80" s="138" t="s">
        <v>291</v>
      </c>
      <c r="AJ80" s="138" t="s">
        <v>291</v>
      </c>
      <c r="AK80" s="138" t="s">
        <v>291</v>
      </c>
      <c r="AL80" s="138" t="s">
        <v>291</v>
      </c>
      <c r="AM80" s="149">
        <f t="shared" si="7"/>
        <v>0.65</v>
      </c>
      <c r="AN80" s="156">
        <f t="shared" si="8"/>
        <v>39</v>
      </c>
    </row>
    <row r="81" spans="1:40" ht="30" customHeight="1" x14ac:dyDescent="0.2">
      <c r="A81" s="366" t="s">
        <v>315</v>
      </c>
      <c r="B81" s="367"/>
      <c r="C81" s="367"/>
      <c r="D81" s="368"/>
      <c r="E81" s="355"/>
      <c r="F81" s="356"/>
      <c r="G81" s="356"/>
      <c r="H81" s="356"/>
      <c r="I81" s="356"/>
      <c r="J81" s="356"/>
      <c r="K81" s="356"/>
      <c r="L81" s="356"/>
      <c r="M81" s="356"/>
      <c r="N81" s="356"/>
      <c r="O81" s="356"/>
      <c r="P81" s="356"/>
      <c r="Q81" s="356"/>
      <c r="R81" s="356"/>
      <c r="S81" s="356"/>
      <c r="T81" s="356"/>
      <c r="U81" s="356"/>
      <c r="V81" s="356"/>
      <c r="W81" s="356"/>
      <c r="X81" s="356"/>
      <c r="Y81" s="356"/>
      <c r="Z81" s="356"/>
      <c r="AA81" s="356"/>
      <c r="AB81" s="356"/>
      <c r="AC81" s="356"/>
      <c r="AD81" s="356"/>
      <c r="AE81" s="356"/>
      <c r="AF81" s="356"/>
      <c r="AG81" s="356"/>
      <c r="AH81" s="356"/>
      <c r="AI81" s="356"/>
      <c r="AJ81" s="356"/>
      <c r="AK81" s="356"/>
      <c r="AL81" s="357"/>
      <c r="AM81" s="149"/>
      <c r="AN81" s="156"/>
    </row>
    <row r="82" spans="1:40" x14ac:dyDescent="0.2">
      <c r="A82" s="26">
        <v>75</v>
      </c>
      <c r="B82" s="24" t="s">
        <v>262</v>
      </c>
      <c r="C82" s="33" t="s">
        <v>112</v>
      </c>
      <c r="D82" s="139">
        <v>5</v>
      </c>
      <c r="E82" s="138" t="s">
        <v>291</v>
      </c>
      <c r="F82" s="138" t="s">
        <v>291</v>
      </c>
      <c r="G82" s="138" t="s">
        <v>291</v>
      </c>
      <c r="H82" s="138" t="s">
        <v>291</v>
      </c>
      <c r="I82" s="138" t="s">
        <v>291</v>
      </c>
      <c r="J82" s="138" t="s">
        <v>291</v>
      </c>
      <c r="K82" s="138" t="s">
        <v>291</v>
      </c>
      <c r="L82" s="138" t="s">
        <v>291</v>
      </c>
      <c r="M82" s="138" t="s">
        <v>291</v>
      </c>
      <c r="N82" s="138" t="s">
        <v>291</v>
      </c>
      <c r="O82" s="138" t="s">
        <v>291</v>
      </c>
      <c r="P82" s="138" t="s">
        <v>291</v>
      </c>
      <c r="Q82" s="138" t="s">
        <v>291</v>
      </c>
      <c r="R82" s="138" t="s">
        <v>291</v>
      </c>
      <c r="S82" s="138" t="s">
        <v>291</v>
      </c>
      <c r="T82" s="138" t="s">
        <v>291</v>
      </c>
      <c r="U82" s="138" t="s">
        <v>291</v>
      </c>
      <c r="V82" s="138" t="s">
        <v>291</v>
      </c>
      <c r="W82" s="138" t="s">
        <v>291</v>
      </c>
      <c r="X82" s="138" t="s">
        <v>291</v>
      </c>
      <c r="Y82" s="138" t="s">
        <v>291</v>
      </c>
      <c r="Z82" s="138">
        <v>38</v>
      </c>
      <c r="AA82" s="138">
        <v>46.8</v>
      </c>
      <c r="AB82" s="138">
        <v>49.9</v>
      </c>
      <c r="AC82" s="138" t="s">
        <v>291</v>
      </c>
      <c r="AD82" s="138" t="s">
        <v>291</v>
      </c>
      <c r="AE82" s="138" t="s">
        <v>291</v>
      </c>
      <c r="AF82" s="138" t="s">
        <v>291</v>
      </c>
      <c r="AG82" s="138" t="s">
        <v>291</v>
      </c>
      <c r="AH82" s="138" t="s">
        <v>291</v>
      </c>
      <c r="AI82" s="138" t="s">
        <v>291</v>
      </c>
      <c r="AJ82" s="138" t="s">
        <v>291</v>
      </c>
      <c r="AK82" s="138" t="s">
        <v>291</v>
      </c>
      <c r="AL82" s="138" t="s">
        <v>291</v>
      </c>
      <c r="AM82" s="149">
        <f>SUM(E82:AD82)/3</f>
        <v>44.9</v>
      </c>
      <c r="AN82" s="156">
        <f t="shared" ref="AN82:AN93" si="9">AM82*D82</f>
        <v>224.5</v>
      </c>
    </row>
    <row r="83" spans="1:40" x14ac:dyDescent="0.2">
      <c r="A83" s="26">
        <v>76</v>
      </c>
      <c r="B83" s="24" t="s">
        <v>263</v>
      </c>
      <c r="C83" s="33" t="s">
        <v>112</v>
      </c>
      <c r="D83" s="139">
        <v>5</v>
      </c>
      <c r="E83" s="138" t="s">
        <v>291</v>
      </c>
      <c r="F83" s="138" t="s">
        <v>291</v>
      </c>
      <c r="G83" s="138" t="s">
        <v>291</v>
      </c>
      <c r="H83" s="138" t="s">
        <v>291</v>
      </c>
      <c r="I83" s="138" t="s">
        <v>291</v>
      </c>
      <c r="J83" s="138" t="s">
        <v>291</v>
      </c>
      <c r="K83" s="138" t="s">
        <v>291</v>
      </c>
      <c r="L83" s="138" t="s">
        <v>291</v>
      </c>
      <c r="M83" s="138" t="s">
        <v>291</v>
      </c>
      <c r="N83" s="138" t="s">
        <v>291</v>
      </c>
      <c r="O83" s="138" t="s">
        <v>291</v>
      </c>
      <c r="P83" s="138" t="s">
        <v>291</v>
      </c>
      <c r="Q83" s="138" t="s">
        <v>291</v>
      </c>
      <c r="R83" s="138" t="s">
        <v>291</v>
      </c>
      <c r="S83" s="138" t="s">
        <v>291</v>
      </c>
      <c r="T83" s="138" t="s">
        <v>291</v>
      </c>
      <c r="U83" s="138" t="s">
        <v>291</v>
      </c>
      <c r="V83" s="138" t="s">
        <v>291</v>
      </c>
      <c r="W83" s="138" t="s">
        <v>291</v>
      </c>
      <c r="X83" s="138" t="s">
        <v>291</v>
      </c>
      <c r="Y83" s="138" t="s">
        <v>291</v>
      </c>
      <c r="Z83" s="138">
        <v>52.9</v>
      </c>
      <c r="AA83" s="138" t="s">
        <v>291</v>
      </c>
      <c r="AB83" s="138">
        <v>58</v>
      </c>
      <c r="AC83" s="138" t="s">
        <v>291</v>
      </c>
      <c r="AD83" s="138" t="s">
        <v>291</v>
      </c>
      <c r="AE83" s="138" t="s">
        <v>291</v>
      </c>
      <c r="AF83" s="138" t="s">
        <v>291</v>
      </c>
      <c r="AG83" s="138" t="s">
        <v>291</v>
      </c>
      <c r="AH83" s="138" t="s">
        <v>291</v>
      </c>
      <c r="AI83" s="138" t="s">
        <v>291</v>
      </c>
      <c r="AJ83" s="138" t="s">
        <v>291</v>
      </c>
      <c r="AK83" s="138" t="s">
        <v>291</v>
      </c>
      <c r="AL83" s="138" t="s">
        <v>291</v>
      </c>
      <c r="AM83" s="149">
        <f>SUM(E83:AD83)/2</f>
        <v>55.45</v>
      </c>
      <c r="AN83" s="156">
        <f t="shared" si="9"/>
        <v>277.25</v>
      </c>
    </row>
    <row r="84" spans="1:40" x14ac:dyDescent="0.2">
      <c r="A84" s="26">
        <v>77</v>
      </c>
      <c r="B84" s="24" t="s">
        <v>264</v>
      </c>
      <c r="C84" s="33" t="s">
        <v>112</v>
      </c>
      <c r="D84" s="139">
        <v>5</v>
      </c>
      <c r="E84" s="138" t="s">
        <v>291</v>
      </c>
      <c r="F84" s="138" t="s">
        <v>291</v>
      </c>
      <c r="G84" s="138" t="s">
        <v>291</v>
      </c>
      <c r="H84" s="138" t="s">
        <v>291</v>
      </c>
      <c r="I84" s="138" t="s">
        <v>291</v>
      </c>
      <c r="J84" s="138" t="s">
        <v>291</v>
      </c>
      <c r="K84" s="138" t="s">
        <v>291</v>
      </c>
      <c r="L84" s="138" t="s">
        <v>291</v>
      </c>
      <c r="M84" s="138" t="s">
        <v>291</v>
      </c>
      <c r="N84" s="138" t="s">
        <v>291</v>
      </c>
      <c r="O84" s="138" t="s">
        <v>291</v>
      </c>
      <c r="P84" s="138" t="s">
        <v>291</v>
      </c>
      <c r="Q84" s="138" t="s">
        <v>291</v>
      </c>
      <c r="R84" s="138" t="s">
        <v>291</v>
      </c>
      <c r="S84" s="138" t="s">
        <v>291</v>
      </c>
      <c r="T84" s="138" t="s">
        <v>291</v>
      </c>
      <c r="U84" s="138" t="s">
        <v>291</v>
      </c>
      <c r="V84" s="138" t="s">
        <v>291</v>
      </c>
      <c r="W84" s="138" t="s">
        <v>291</v>
      </c>
      <c r="X84" s="138" t="s">
        <v>291</v>
      </c>
      <c r="Y84" s="138" t="s">
        <v>291</v>
      </c>
      <c r="Z84" s="138">
        <v>35.25</v>
      </c>
      <c r="AA84" s="138">
        <v>48.56</v>
      </c>
      <c r="AB84" s="138">
        <v>49.99</v>
      </c>
      <c r="AC84" s="138" t="s">
        <v>291</v>
      </c>
      <c r="AD84" s="138" t="s">
        <v>291</v>
      </c>
      <c r="AE84" s="138" t="s">
        <v>291</v>
      </c>
      <c r="AF84" s="138" t="s">
        <v>291</v>
      </c>
      <c r="AG84" s="138" t="s">
        <v>291</v>
      </c>
      <c r="AH84" s="138" t="s">
        <v>291</v>
      </c>
      <c r="AI84" s="138" t="s">
        <v>291</v>
      </c>
      <c r="AJ84" s="138" t="s">
        <v>291</v>
      </c>
      <c r="AK84" s="138" t="s">
        <v>291</v>
      </c>
      <c r="AL84" s="138" t="s">
        <v>291</v>
      </c>
      <c r="AM84" s="149">
        <f>SUM(E84:AD84)/3</f>
        <v>44.6</v>
      </c>
      <c r="AN84" s="156">
        <f t="shared" si="9"/>
        <v>223</v>
      </c>
    </row>
    <row r="85" spans="1:40" x14ac:dyDescent="0.2">
      <c r="A85" s="26">
        <v>78</v>
      </c>
      <c r="B85" s="24" t="s">
        <v>265</v>
      </c>
      <c r="C85" s="33" t="s">
        <v>112</v>
      </c>
      <c r="D85" s="139">
        <v>5</v>
      </c>
      <c r="E85" s="138" t="s">
        <v>291</v>
      </c>
      <c r="F85" s="138" t="s">
        <v>291</v>
      </c>
      <c r="G85" s="138" t="s">
        <v>291</v>
      </c>
      <c r="H85" s="138" t="s">
        <v>291</v>
      </c>
      <c r="I85" s="138" t="s">
        <v>291</v>
      </c>
      <c r="J85" s="138" t="s">
        <v>291</v>
      </c>
      <c r="K85" s="138" t="s">
        <v>291</v>
      </c>
      <c r="L85" s="138" t="s">
        <v>291</v>
      </c>
      <c r="M85" s="138" t="s">
        <v>291</v>
      </c>
      <c r="N85" s="138" t="s">
        <v>291</v>
      </c>
      <c r="O85" s="138" t="s">
        <v>291</v>
      </c>
      <c r="P85" s="138" t="s">
        <v>291</v>
      </c>
      <c r="Q85" s="138" t="s">
        <v>291</v>
      </c>
      <c r="R85" s="138" t="s">
        <v>291</v>
      </c>
      <c r="S85" s="138" t="s">
        <v>291</v>
      </c>
      <c r="T85" s="138" t="s">
        <v>291</v>
      </c>
      <c r="U85" s="138" t="s">
        <v>291</v>
      </c>
      <c r="V85" s="138" t="s">
        <v>291</v>
      </c>
      <c r="W85" s="138" t="s">
        <v>291</v>
      </c>
      <c r="X85" s="138" t="s">
        <v>291</v>
      </c>
      <c r="Y85" s="138" t="s">
        <v>291</v>
      </c>
      <c r="Z85" s="138">
        <v>77</v>
      </c>
      <c r="AA85" s="138" t="s">
        <v>291</v>
      </c>
      <c r="AB85" s="138">
        <v>52</v>
      </c>
      <c r="AC85" s="138" t="s">
        <v>291</v>
      </c>
      <c r="AD85" s="138">
        <v>38.99</v>
      </c>
      <c r="AE85" s="138" t="s">
        <v>291</v>
      </c>
      <c r="AF85" s="138" t="s">
        <v>291</v>
      </c>
      <c r="AG85" s="138" t="s">
        <v>291</v>
      </c>
      <c r="AH85" s="138" t="s">
        <v>291</v>
      </c>
      <c r="AI85" s="138" t="s">
        <v>291</v>
      </c>
      <c r="AJ85" s="138" t="s">
        <v>291</v>
      </c>
      <c r="AK85" s="138" t="s">
        <v>291</v>
      </c>
      <c r="AL85" s="138" t="s">
        <v>291</v>
      </c>
      <c r="AM85" s="149">
        <f>SUM(E85:AD85)/3</f>
        <v>55.99666666666667</v>
      </c>
      <c r="AN85" s="156">
        <f t="shared" si="9"/>
        <v>279.98333333333335</v>
      </c>
    </row>
    <row r="86" spans="1:40" x14ac:dyDescent="0.2">
      <c r="A86" s="26">
        <v>79</v>
      </c>
      <c r="B86" s="24" t="s">
        <v>136</v>
      </c>
      <c r="C86" s="33" t="s">
        <v>137</v>
      </c>
      <c r="D86" s="139">
        <v>50</v>
      </c>
      <c r="E86" s="138">
        <v>7.34</v>
      </c>
      <c r="F86" s="138" t="s">
        <v>291</v>
      </c>
      <c r="G86" s="138" t="s">
        <v>291</v>
      </c>
      <c r="H86" s="138" t="s">
        <v>291</v>
      </c>
      <c r="I86" s="138" t="s">
        <v>291</v>
      </c>
      <c r="J86" s="138" t="s">
        <v>291</v>
      </c>
      <c r="K86" s="138" t="s">
        <v>291</v>
      </c>
      <c r="L86" s="138" t="s">
        <v>291</v>
      </c>
      <c r="M86" s="138" t="s">
        <v>291</v>
      </c>
      <c r="N86" s="138" t="s">
        <v>291</v>
      </c>
      <c r="O86" s="138" t="s">
        <v>291</v>
      </c>
      <c r="P86" s="138" t="s">
        <v>291</v>
      </c>
      <c r="Q86" s="138" t="s">
        <v>291</v>
      </c>
      <c r="R86" s="138" t="s">
        <v>291</v>
      </c>
      <c r="S86" s="138" t="s">
        <v>291</v>
      </c>
      <c r="T86" s="138" t="s">
        <v>291</v>
      </c>
      <c r="U86" s="138" t="s">
        <v>291</v>
      </c>
      <c r="V86" s="138" t="s">
        <v>291</v>
      </c>
      <c r="W86" s="138" t="s">
        <v>291</v>
      </c>
      <c r="X86" s="138">
        <v>6.27</v>
      </c>
      <c r="Y86" s="138" t="s">
        <v>291</v>
      </c>
      <c r="Z86" s="138" t="s">
        <v>291</v>
      </c>
      <c r="AA86" s="138" t="s">
        <v>291</v>
      </c>
      <c r="AB86" s="138" t="s">
        <v>291</v>
      </c>
      <c r="AC86" s="138" t="s">
        <v>291</v>
      </c>
      <c r="AD86" s="138">
        <v>5.2</v>
      </c>
      <c r="AE86" s="138" t="s">
        <v>291</v>
      </c>
      <c r="AF86" s="138" t="s">
        <v>291</v>
      </c>
      <c r="AG86" s="138" t="s">
        <v>291</v>
      </c>
      <c r="AH86" s="138" t="s">
        <v>291</v>
      </c>
      <c r="AI86" s="138" t="s">
        <v>291</v>
      </c>
      <c r="AJ86" s="138" t="s">
        <v>291</v>
      </c>
      <c r="AK86" s="138" t="s">
        <v>291</v>
      </c>
      <c r="AL86" s="138" t="s">
        <v>291</v>
      </c>
      <c r="AM86" s="149">
        <f>SUM(E86:AL86)/3</f>
        <v>6.27</v>
      </c>
      <c r="AN86" s="156">
        <f t="shared" si="9"/>
        <v>313.5</v>
      </c>
    </row>
    <row r="87" spans="1:40" x14ac:dyDescent="0.2">
      <c r="A87" s="26">
        <v>80</v>
      </c>
      <c r="B87" s="24" t="s">
        <v>138</v>
      </c>
      <c r="C87" s="33" t="s">
        <v>137</v>
      </c>
      <c r="D87" s="139">
        <v>600</v>
      </c>
      <c r="E87" s="138" t="s">
        <v>291</v>
      </c>
      <c r="F87" s="138" t="s">
        <v>291</v>
      </c>
      <c r="G87" s="138" t="s">
        <v>291</v>
      </c>
      <c r="H87" s="138" t="s">
        <v>291</v>
      </c>
      <c r="I87" s="138" t="s">
        <v>291</v>
      </c>
      <c r="J87" s="138" t="s">
        <v>291</v>
      </c>
      <c r="K87" s="138" t="s">
        <v>291</v>
      </c>
      <c r="L87" s="138" t="s">
        <v>291</v>
      </c>
      <c r="M87" s="138" t="s">
        <v>291</v>
      </c>
      <c r="N87" s="138" t="s">
        <v>291</v>
      </c>
      <c r="O87" s="138" t="s">
        <v>291</v>
      </c>
      <c r="P87" s="138" t="s">
        <v>291</v>
      </c>
      <c r="Q87" s="138">
        <v>7.27</v>
      </c>
      <c r="R87" s="138">
        <v>7.16</v>
      </c>
      <c r="S87" s="138" t="s">
        <v>291</v>
      </c>
      <c r="T87" s="138" t="s">
        <v>291</v>
      </c>
      <c r="U87" s="138" t="s">
        <v>291</v>
      </c>
      <c r="V87" s="138" t="s">
        <v>291</v>
      </c>
      <c r="W87" s="138" t="s">
        <v>291</v>
      </c>
      <c r="X87" s="138">
        <v>9.5</v>
      </c>
      <c r="Y87" s="138" t="s">
        <v>291</v>
      </c>
      <c r="Z87" s="138" t="s">
        <v>291</v>
      </c>
      <c r="AA87" s="138" t="s">
        <v>291</v>
      </c>
      <c r="AB87" s="138" t="s">
        <v>291</v>
      </c>
      <c r="AC87" s="138" t="s">
        <v>291</v>
      </c>
      <c r="AD87" s="138" t="s">
        <v>291</v>
      </c>
      <c r="AE87" s="138" t="s">
        <v>291</v>
      </c>
      <c r="AF87" s="138" t="s">
        <v>291</v>
      </c>
      <c r="AG87" s="138" t="s">
        <v>291</v>
      </c>
      <c r="AH87" s="138" t="s">
        <v>291</v>
      </c>
      <c r="AI87" s="138" t="s">
        <v>291</v>
      </c>
      <c r="AJ87" s="138" t="s">
        <v>291</v>
      </c>
      <c r="AK87" s="138" t="s">
        <v>291</v>
      </c>
      <c r="AL87" s="138" t="s">
        <v>291</v>
      </c>
      <c r="AM87" s="149">
        <f>SUM(E87:AL87)/3</f>
        <v>7.9766666666666666</v>
      </c>
      <c r="AN87" s="156">
        <f t="shared" si="9"/>
        <v>4786</v>
      </c>
    </row>
    <row r="88" spans="1:40" x14ac:dyDescent="0.2">
      <c r="A88" s="26">
        <v>81</v>
      </c>
      <c r="B88" s="24" t="s">
        <v>139</v>
      </c>
      <c r="C88" s="33" t="s">
        <v>137</v>
      </c>
      <c r="D88" s="139">
        <v>50</v>
      </c>
      <c r="E88" s="138">
        <v>27.04</v>
      </c>
      <c r="F88" s="138" t="s">
        <v>291</v>
      </c>
      <c r="G88" s="138" t="s">
        <v>291</v>
      </c>
      <c r="H88" s="138" t="s">
        <v>291</v>
      </c>
      <c r="I88" s="138" t="s">
        <v>291</v>
      </c>
      <c r="J88" s="138" t="s">
        <v>291</v>
      </c>
      <c r="K88" s="138" t="s">
        <v>291</v>
      </c>
      <c r="L88" s="138" t="s">
        <v>291</v>
      </c>
      <c r="M88" s="138" t="s">
        <v>291</v>
      </c>
      <c r="N88" s="138" t="s">
        <v>291</v>
      </c>
      <c r="O88" s="138" t="s">
        <v>291</v>
      </c>
      <c r="P88" s="138" t="s">
        <v>291</v>
      </c>
      <c r="Q88" s="138" t="s">
        <v>291</v>
      </c>
      <c r="R88" s="138" t="s">
        <v>291</v>
      </c>
      <c r="S88" s="138" t="s">
        <v>291</v>
      </c>
      <c r="T88" s="138" t="s">
        <v>291</v>
      </c>
      <c r="U88" s="138" t="s">
        <v>291</v>
      </c>
      <c r="V88" s="138" t="s">
        <v>291</v>
      </c>
      <c r="W88" s="138" t="s">
        <v>291</v>
      </c>
      <c r="X88" s="138" t="s">
        <v>291</v>
      </c>
      <c r="Y88" s="138" t="s">
        <v>291</v>
      </c>
      <c r="Z88" s="138" t="s">
        <v>291</v>
      </c>
      <c r="AA88" s="138" t="s">
        <v>291</v>
      </c>
      <c r="AB88" s="138" t="s">
        <v>291</v>
      </c>
      <c r="AC88" s="138" t="s">
        <v>291</v>
      </c>
      <c r="AD88" s="138" t="s">
        <v>291</v>
      </c>
      <c r="AE88" s="138" t="s">
        <v>291</v>
      </c>
      <c r="AF88" s="138" t="s">
        <v>291</v>
      </c>
      <c r="AG88" s="138" t="s">
        <v>291</v>
      </c>
      <c r="AH88" s="138" t="s">
        <v>291</v>
      </c>
      <c r="AI88" s="138" t="s">
        <v>291</v>
      </c>
      <c r="AJ88" s="138" t="s">
        <v>291</v>
      </c>
      <c r="AK88" s="138" t="s">
        <v>291</v>
      </c>
      <c r="AL88" s="138" t="s">
        <v>291</v>
      </c>
      <c r="AM88" s="149">
        <v>27.04</v>
      </c>
      <c r="AN88" s="156">
        <f t="shared" si="9"/>
        <v>1352</v>
      </c>
    </row>
    <row r="89" spans="1:40" x14ac:dyDescent="0.2">
      <c r="A89" s="26">
        <v>82</v>
      </c>
      <c r="B89" s="24" t="s">
        <v>519</v>
      </c>
      <c r="C89" s="33" t="s">
        <v>132</v>
      </c>
      <c r="D89" s="139">
        <v>12</v>
      </c>
      <c r="E89" s="138">
        <v>52.4</v>
      </c>
      <c r="F89" s="138" t="s">
        <v>291</v>
      </c>
      <c r="G89" s="138" t="s">
        <v>291</v>
      </c>
      <c r="H89" s="138" t="s">
        <v>291</v>
      </c>
      <c r="I89" s="138" t="s">
        <v>291</v>
      </c>
      <c r="J89" s="138" t="s">
        <v>291</v>
      </c>
      <c r="K89" s="138" t="s">
        <v>291</v>
      </c>
      <c r="L89" s="138" t="s">
        <v>291</v>
      </c>
      <c r="M89" s="138" t="s">
        <v>291</v>
      </c>
      <c r="N89" s="138" t="s">
        <v>291</v>
      </c>
      <c r="O89" s="138" t="s">
        <v>291</v>
      </c>
      <c r="P89" s="138" t="s">
        <v>291</v>
      </c>
      <c r="Q89" s="138" t="s">
        <v>291</v>
      </c>
      <c r="R89" s="138" t="s">
        <v>291</v>
      </c>
      <c r="S89" s="138" t="s">
        <v>291</v>
      </c>
      <c r="T89" s="138" t="s">
        <v>291</v>
      </c>
      <c r="U89" s="138" t="s">
        <v>291</v>
      </c>
      <c r="V89" s="138" t="s">
        <v>291</v>
      </c>
      <c r="W89" s="138" t="s">
        <v>291</v>
      </c>
      <c r="X89" s="138" t="s">
        <v>291</v>
      </c>
      <c r="Y89" s="138" t="s">
        <v>291</v>
      </c>
      <c r="Z89" s="138" t="s">
        <v>291</v>
      </c>
      <c r="AA89" s="138" t="s">
        <v>291</v>
      </c>
      <c r="AB89" s="138" t="s">
        <v>291</v>
      </c>
      <c r="AC89" s="138" t="s">
        <v>291</v>
      </c>
      <c r="AD89" s="138" t="s">
        <v>291</v>
      </c>
      <c r="AE89" s="138" t="s">
        <v>291</v>
      </c>
      <c r="AF89" s="138" t="s">
        <v>291</v>
      </c>
      <c r="AG89" s="138" t="s">
        <v>291</v>
      </c>
      <c r="AH89" s="138" t="s">
        <v>291</v>
      </c>
      <c r="AI89" s="138" t="s">
        <v>291</v>
      </c>
      <c r="AJ89" s="138" t="s">
        <v>291</v>
      </c>
      <c r="AK89" s="138" t="s">
        <v>291</v>
      </c>
      <c r="AL89" s="138" t="s">
        <v>291</v>
      </c>
      <c r="AM89" s="149">
        <f>E89</f>
        <v>52.4</v>
      </c>
      <c r="AN89" s="156">
        <f t="shared" si="9"/>
        <v>628.79999999999995</v>
      </c>
    </row>
    <row r="90" spans="1:40" x14ac:dyDescent="0.2">
      <c r="A90" s="26">
        <v>83</v>
      </c>
      <c r="B90" s="24" t="s">
        <v>520</v>
      </c>
      <c r="C90" s="33" t="s">
        <v>132</v>
      </c>
      <c r="D90" s="139">
        <v>12</v>
      </c>
      <c r="E90" s="138">
        <v>60</v>
      </c>
      <c r="F90" s="138" t="s">
        <v>291</v>
      </c>
      <c r="G90" s="138" t="s">
        <v>291</v>
      </c>
      <c r="H90" s="138" t="s">
        <v>291</v>
      </c>
      <c r="I90" s="138" t="s">
        <v>291</v>
      </c>
      <c r="J90" s="138" t="s">
        <v>291</v>
      </c>
      <c r="K90" s="138" t="s">
        <v>291</v>
      </c>
      <c r="L90" s="138" t="s">
        <v>291</v>
      </c>
      <c r="M90" s="138" t="s">
        <v>291</v>
      </c>
      <c r="N90" s="138" t="s">
        <v>291</v>
      </c>
      <c r="O90" s="138" t="s">
        <v>291</v>
      </c>
      <c r="P90" s="138" t="s">
        <v>291</v>
      </c>
      <c r="Q90" s="138" t="s">
        <v>291</v>
      </c>
      <c r="R90" s="138" t="s">
        <v>291</v>
      </c>
      <c r="S90" s="138" t="s">
        <v>291</v>
      </c>
      <c r="T90" s="138" t="s">
        <v>291</v>
      </c>
      <c r="U90" s="138" t="s">
        <v>291</v>
      </c>
      <c r="V90" s="138" t="s">
        <v>291</v>
      </c>
      <c r="W90" s="138" t="s">
        <v>291</v>
      </c>
      <c r="X90" s="138" t="s">
        <v>291</v>
      </c>
      <c r="Y90" s="138" t="s">
        <v>291</v>
      </c>
      <c r="Z90" s="138" t="s">
        <v>291</v>
      </c>
      <c r="AA90" s="138" t="s">
        <v>291</v>
      </c>
      <c r="AB90" s="138" t="s">
        <v>291</v>
      </c>
      <c r="AC90" s="138" t="s">
        <v>291</v>
      </c>
      <c r="AD90" s="138" t="s">
        <v>291</v>
      </c>
      <c r="AE90" s="138" t="s">
        <v>291</v>
      </c>
      <c r="AF90" s="138" t="s">
        <v>291</v>
      </c>
      <c r="AG90" s="138" t="s">
        <v>291</v>
      </c>
      <c r="AH90" s="138" t="s">
        <v>291</v>
      </c>
      <c r="AI90" s="138" t="s">
        <v>291</v>
      </c>
      <c r="AJ90" s="138" t="s">
        <v>291</v>
      </c>
      <c r="AK90" s="138" t="s">
        <v>291</v>
      </c>
      <c r="AL90" s="138" t="s">
        <v>291</v>
      </c>
      <c r="AM90" s="149">
        <f>E90</f>
        <v>60</v>
      </c>
      <c r="AN90" s="156">
        <f t="shared" si="9"/>
        <v>720</v>
      </c>
    </row>
    <row r="91" spans="1:40" x14ac:dyDescent="0.2">
      <c r="A91" s="26">
        <v>84</v>
      </c>
      <c r="B91" s="24" t="s">
        <v>516</v>
      </c>
      <c r="C91" s="33" t="s">
        <v>112</v>
      </c>
      <c r="D91" s="139">
        <v>6</v>
      </c>
      <c r="E91" s="138" t="s">
        <v>291</v>
      </c>
      <c r="F91" s="138" t="s">
        <v>291</v>
      </c>
      <c r="G91" s="138" t="s">
        <v>291</v>
      </c>
      <c r="H91" s="138" t="s">
        <v>291</v>
      </c>
      <c r="I91" s="138" t="s">
        <v>291</v>
      </c>
      <c r="J91" s="138" t="s">
        <v>291</v>
      </c>
      <c r="K91" s="138" t="s">
        <v>291</v>
      </c>
      <c r="L91" s="138" t="s">
        <v>291</v>
      </c>
      <c r="M91" s="138" t="s">
        <v>291</v>
      </c>
      <c r="N91" s="138" t="s">
        <v>291</v>
      </c>
      <c r="O91" s="138" t="s">
        <v>291</v>
      </c>
      <c r="P91" s="138" t="s">
        <v>291</v>
      </c>
      <c r="Q91" s="138" t="s">
        <v>291</v>
      </c>
      <c r="R91" s="138">
        <v>67.42</v>
      </c>
      <c r="S91" s="138" t="s">
        <v>291</v>
      </c>
      <c r="T91" s="138" t="s">
        <v>291</v>
      </c>
      <c r="U91" s="138" t="s">
        <v>291</v>
      </c>
      <c r="V91" s="138" t="s">
        <v>291</v>
      </c>
      <c r="W91" s="138" t="s">
        <v>291</v>
      </c>
      <c r="X91" s="138" t="s">
        <v>291</v>
      </c>
      <c r="Y91" s="138" t="s">
        <v>291</v>
      </c>
      <c r="Z91" s="138" t="s">
        <v>291</v>
      </c>
      <c r="AA91" s="138" t="s">
        <v>291</v>
      </c>
      <c r="AB91" s="138" t="s">
        <v>291</v>
      </c>
      <c r="AC91" s="138" t="s">
        <v>291</v>
      </c>
      <c r="AD91" s="138" t="s">
        <v>291</v>
      </c>
      <c r="AE91" s="138" t="s">
        <v>291</v>
      </c>
      <c r="AF91" s="138" t="s">
        <v>291</v>
      </c>
      <c r="AG91" s="138" t="s">
        <v>291</v>
      </c>
      <c r="AH91" s="138">
        <v>66</v>
      </c>
      <c r="AI91" s="138">
        <v>58.94</v>
      </c>
      <c r="AJ91" s="138" t="s">
        <v>291</v>
      </c>
      <c r="AK91" s="138" t="s">
        <v>291</v>
      </c>
      <c r="AL91" s="138" t="s">
        <v>291</v>
      </c>
      <c r="AM91" s="147">
        <v>40.869999999999997</v>
      </c>
      <c r="AN91" s="156">
        <f t="shared" si="9"/>
        <v>245.21999999999997</v>
      </c>
    </row>
    <row r="92" spans="1:40" x14ac:dyDescent="0.2">
      <c r="A92" s="26">
        <v>85</v>
      </c>
      <c r="B92" s="24" t="s">
        <v>517</v>
      </c>
      <c r="C92" s="33" t="s">
        <v>112</v>
      </c>
      <c r="D92" s="139">
        <v>6</v>
      </c>
      <c r="E92" s="138" t="s">
        <v>291</v>
      </c>
      <c r="F92" s="138" t="s">
        <v>291</v>
      </c>
      <c r="G92" s="138" t="s">
        <v>291</v>
      </c>
      <c r="H92" s="138" t="s">
        <v>291</v>
      </c>
      <c r="I92" s="138" t="s">
        <v>291</v>
      </c>
      <c r="J92" s="138" t="s">
        <v>291</v>
      </c>
      <c r="K92" s="138" t="s">
        <v>291</v>
      </c>
      <c r="L92" s="138" t="s">
        <v>291</v>
      </c>
      <c r="M92" s="138" t="s">
        <v>291</v>
      </c>
      <c r="N92" s="138">
        <v>69.989999999999995</v>
      </c>
      <c r="O92" s="138" t="s">
        <v>291</v>
      </c>
      <c r="P92" s="138" t="s">
        <v>291</v>
      </c>
      <c r="Q92" s="138" t="s">
        <v>291</v>
      </c>
      <c r="R92" s="138">
        <v>91.69</v>
      </c>
      <c r="S92" s="138" t="s">
        <v>291</v>
      </c>
      <c r="T92" s="138" t="s">
        <v>291</v>
      </c>
      <c r="U92" s="138" t="s">
        <v>291</v>
      </c>
      <c r="V92" s="138">
        <v>68.09</v>
      </c>
      <c r="W92" s="138" t="s">
        <v>291</v>
      </c>
      <c r="X92" s="138" t="s">
        <v>291</v>
      </c>
      <c r="Y92" s="138" t="s">
        <v>291</v>
      </c>
      <c r="Z92" s="138" t="s">
        <v>291</v>
      </c>
      <c r="AA92" s="138" t="s">
        <v>291</v>
      </c>
      <c r="AB92" s="138" t="s">
        <v>291</v>
      </c>
      <c r="AC92" s="138" t="s">
        <v>291</v>
      </c>
      <c r="AD92" s="138" t="s">
        <v>291</v>
      </c>
      <c r="AE92" s="138" t="s">
        <v>291</v>
      </c>
      <c r="AF92" s="138" t="s">
        <v>291</v>
      </c>
      <c r="AG92" s="138" t="s">
        <v>291</v>
      </c>
      <c r="AH92" s="138" t="s">
        <v>291</v>
      </c>
      <c r="AI92" s="138" t="s">
        <v>291</v>
      </c>
      <c r="AJ92" s="138" t="s">
        <v>291</v>
      </c>
      <c r="AK92" s="138" t="s">
        <v>291</v>
      </c>
      <c r="AL92" s="138" t="s">
        <v>291</v>
      </c>
      <c r="AM92" s="147">
        <v>80.599999999999994</v>
      </c>
      <c r="AN92" s="156">
        <f t="shared" si="9"/>
        <v>483.59999999999997</v>
      </c>
    </row>
    <row r="93" spans="1:40" x14ac:dyDescent="0.2">
      <c r="A93" s="26">
        <v>86</v>
      </c>
      <c r="B93" s="24" t="s">
        <v>154</v>
      </c>
      <c r="C93" s="33" t="s">
        <v>112</v>
      </c>
      <c r="D93" s="139">
        <v>100</v>
      </c>
      <c r="E93" s="138">
        <v>11.9</v>
      </c>
      <c r="F93" s="138" t="s">
        <v>291</v>
      </c>
      <c r="G93" s="138" t="s">
        <v>291</v>
      </c>
      <c r="H93" s="138" t="s">
        <v>291</v>
      </c>
      <c r="I93" s="138" t="s">
        <v>291</v>
      </c>
      <c r="J93" s="138" t="s">
        <v>291</v>
      </c>
      <c r="K93" s="138" t="s">
        <v>291</v>
      </c>
      <c r="L93" s="138" t="s">
        <v>291</v>
      </c>
      <c r="M93" s="138" t="s">
        <v>291</v>
      </c>
      <c r="N93" s="138" t="s">
        <v>291</v>
      </c>
      <c r="O93" s="138" t="s">
        <v>291</v>
      </c>
      <c r="P93" s="138" t="s">
        <v>291</v>
      </c>
      <c r="Q93" s="138" t="s">
        <v>291</v>
      </c>
      <c r="R93" s="138" t="s">
        <v>291</v>
      </c>
      <c r="S93" s="138" t="s">
        <v>291</v>
      </c>
      <c r="T93" s="138" t="s">
        <v>291</v>
      </c>
      <c r="U93" s="138" t="s">
        <v>291</v>
      </c>
      <c r="V93" s="138" t="s">
        <v>291</v>
      </c>
      <c r="W93" s="138" t="s">
        <v>291</v>
      </c>
      <c r="X93" s="138" t="s">
        <v>291</v>
      </c>
      <c r="Y93" s="138" t="s">
        <v>291</v>
      </c>
      <c r="Z93" s="138" t="s">
        <v>291</v>
      </c>
      <c r="AA93" s="138" t="s">
        <v>291</v>
      </c>
      <c r="AB93" s="138" t="s">
        <v>291</v>
      </c>
      <c r="AC93" s="138" t="s">
        <v>291</v>
      </c>
      <c r="AD93" s="138" t="s">
        <v>291</v>
      </c>
      <c r="AE93" s="138" t="s">
        <v>291</v>
      </c>
      <c r="AF93" s="138" t="s">
        <v>291</v>
      </c>
      <c r="AG93" s="138" t="s">
        <v>291</v>
      </c>
      <c r="AH93" s="138" t="s">
        <v>291</v>
      </c>
      <c r="AI93" s="138" t="s">
        <v>291</v>
      </c>
      <c r="AJ93" s="138" t="s">
        <v>291</v>
      </c>
      <c r="AK93" s="138" t="s">
        <v>291</v>
      </c>
      <c r="AL93" s="138" t="s">
        <v>291</v>
      </c>
      <c r="AM93" s="149">
        <v>11.9</v>
      </c>
      <c r="AN93" s="156">
        <f t="shared" si="9"/>
        <v>1190</v>
      </c>
    </row>
    <row r="94" spans="1:40" ht="36.75" customHeight="1" x14ac:dyDescent="0.2">
      <c r="A94" s="366" t="s">
        <v>316</v>
      </c>
      <c r="B94" s="367"/>
      <c r="C94" s="367"/>
      <c r="D94" s="368"/>
      <c r="E94" s="352"/>
      <c r="F94" s="353"/>
      <c r="G94" s="353"/>
      <c r="H94" s="353"/>
      <c r="I94" s="353"/>
      <c r="J94" s="353"/>
      <c r="K94" s="353"/>
      <c r="L94" s="353"/>
      <c r="M94" s="353"/>
      <c r="N94" s="353"/>
      <c r="O94" s="353"/>
      <c r="P94" s="353"/>
      <c r="Q94" s="353"/>
      <c r="R94" s="353"/>
      <c r="S94" s="353"/>
      <c r="T94" s="353"/>
      <c r="U94" s="353"/>
      <c r="V94" s="353"/>
      <c r="W94" s="353"/>
      <c r="X94" s="353"/>
      <c r="Y94" s="353"/>
      <c r="Z94" s="353"/>
      <c r="AA94" s="353"/>
      <c r="AB94" s="353"/>
      <c r="AC94" s="353"/>
      <c r="AD94" s="353"/>
      <c r="AE94" s="353"/>
      <c r="AF94" s="353"/>
      <c r="AG94" s="353"/>
      <c r="AH94" s="353"/>
      <c r="AI94" s="353"/>
      <c r="AJ94" s="353"/>
      <c r="AK94" s="353"/>
      <c r="AL94" s="354"/>
      <c r="AM94" s="151"/>
      <c r="AN94" s="156"/>
    </row>
    <row r="95" spans="1:40" x14ac:dyDescent="0.2">
      <c r="A95" s="25">
        <v>87</v>
      </c>
      <c r="B95" s="24" t="s">
        <v>131</v>
      </c>
      <c r="C95" s="33" t="s">
        <v>132</v>
      </c>
      <c r="D95" s="139">
        <v>12</v>
      </c>
      <c r="E95" s="138" t="s">
        <v>291</v>
      </c>
      <c r="F95" s="138" t="s">
        <v>291</v>
      </c>
      <c r="G95" s="138" t="s">
        <v>291</v>
      </c>
      <c r="H95" s="138" t="s">
        <v>291</v>
      </c>
      <c r="I95" s="138" t="s">
        <v>291</v>
      </c>
      <c r="J95" s="138" t="s">
        <v>291</v>
      </c>
      <c r="K95" s="138" t="s">
        <v>291</v>
      </c>
      <c r="L95" s="138" t="s">
        <v>291</v>
      </c>
      <c r="M95" s="138" t="s">
        <v>291</v>
      </c>
      <c r="N95" s="138" t="s">
        <v>291</v>
      </c>
      <c r="O95" s="138" t="s">
        <v>291</v>
      </c>
      <c r="P95" s="138" t="s">
        <v>291</v>
      </c>
      <c r="Q95" s="138" t="s">
        <v>291</v>
      </c>
      <c r="R95" s="138" t="s">
        <v>291</v>
      </c>
      <c r="S95" s="138" t="s">
        <v>291</v>
      </c>
      <c r="T95" s="138" t="s">
        <v>291</v>
      </c>
      <c r="U95" s="138" t="s">
        <v>291</v>
      </c>
      <c r="V95" s="138" t="s">
        <v>291</v>
      </c>
      <c r="W95" s="138" t="s">
        <v>291</v>
      </c>
      <c r="X95" s="138">
        <v>19.899999999999999</v>
      </c>
      <c r="Y95" s="138" t="s">
        <v>291</v>
      </c>
      <c r="Z95" s="138" t="s">
        <v>291</v>
      </c>
      <c r="AA95" s="138" t="s">
        <v>291</v>
      </c>
      <c r="AB95" s="138" t="s">
        <v>291</v>
      </c>
      <c r="AC95" s="138">
        <v>19.899999999999999</v>
      </c>
      <c r="AD95" s="138">
        <v>28.99</v>
      </c>
      <c r="AE95" s="138" t="s">
        <v>291</v>
      </c>
      <c r="AF95" s="138" t="s">
        <v>291</v>
      </c>
      <c r="AG95" s="138" t="s">
        <v>291</v>
      </c>
      <c r="AH95" s="138" t="s">
        <v>291</v>
      </c>
      <c r="AI95" s="138" t="s">
        <v>291</v>
      </c>
      <c r="AJ95" s="138" t="s">
        <v>291</v>
      </c>
      <c r="AK95" s="138" t="s">
        <v>291</v>
      </c>
      <c r="AL95" s="138" t="s">
        <v>291</v>
      </c>
      <c r="AM95" s="149">
        <f>SUM(X95:AD95)/3</f>
        <v>22.929999999999996</v>
      </c>
      <c r="AN95" s="156">
        <f t="shared" ref="AN95:AN103" si="10">AM95*D95</f>
        <v>275.15999999999997</v>
      </c>
    </row>
    <row r="96" spans="1:40" x14ac:dyDescent="0.2">
      <c r="A96" s="25">
        <v>88</v>
      </c>
      <c r="B96" s="24" t="s">
        <v>134</v>
      </c>
      <c r="C96" s="33" t="s">
        <v>112</v>
      </c>
      <c r="D96" s="139">
        <v>20</v>
      </c>
      <c r="E96" s="138" t="s">
        <v>291</v>
      </c>
      <c r="F96" s="138" t="s">
        <v>291</v>
      </c>
      <c r="G96" s="138" t="s">
        <v>291</v>
      </c>
      <c r="H96" s="138" t="s">
        <v>291</v>
      </c>
      <c r="I96" s="138" t="s">
        <v>291</v>
      </c>
      <c r="J96" s="138" t="s">
        <v>291</v>
      </c>
      <c r="K96" s="138" t="s">
        <v>291</v>
      </c>
      <c r="L96" s="138" t="s">
        <v>291</v>
      </c>
      <c r="M96" s="138" t="s">
        <v>291</v>
      </c>
      <c r="N96" s="138" t="s">
        <v>291</v>
      </c>
      <c r="O96" s="138" t="s">
        <v>291</v>
      </c>
      <c r="P96" s="138" t="s">
        <v>291</v>
      </c>
      <c r="Q96" s="138" t="s">
        <v>291</v>
      </c>
      <c r="R96" s="138" t="s">
        <v>291</v>
      </c>
      <c r="S96" s="138" t="s">
        <v>291</v>
      </c>
      <c r="T96" s="138" t="s">
        <v>291</v>
      </c>
      <c r="U96" s="138" t="s">
        <v>291</v>
      </c>
      <c r="V96" s="138" t="s">
        <v>291</v>
      </c>
      <c r="W96" s="138" t="s">
        <v>291</v>
      </c>
      <c r="X96" s="138" t="s">
        <v>291</v>
      </c>
      <c r="Y96" s="138">
        <v>6.69</v>
      </c>
      <c r="Z96" s="138" t="s">
        <v>291</v>
      </c>
      <c r="AA96" s="138" t="s">
        <v>291</v>
      </c>
      <c r="AB96" s="138" t="s">
        <v>291</v>
      </c>
      <c r="AC96" s="138">
        <v>8.06</v>
      </c>
      <c r="AD96" s="138">
        <v>6.43</v>
      </c>
      <c r="AE96" s="138" t="s">
        <v>291</v>
      </c>
      <c r="AF96" s="138" t="s">
        <v>291</v>
      </c>
      <c r="AG96" s="138" t="s">
        <v>291</v>
      </c>
      <c r="AH96" s="138" t="s">
        <v>291</v>
      </c>
      <c r="AI96" s="138" t="s">
        <v>291</v>
      </c>
      <c r="AJ96" s="138" t="s">
        <v>291</v>
      </c>
      <c r="AK96" s="138" t="s">
        <v>291</v>
      </c>
      <c r="AL96" s="138" t="s">
        <v>291</v>
      </c>
      <c r="AM96" s="149">
        <f>SUM(X96:AD96)/3</f>
        <v>7.06</v>
      </c>
      <c r="AN96" s="156">
        <f t="shared" si="10"/>
        <v>141.19999999999999</v>
      </c>
    </row>
    <row r="97" spans="1:40" x14ac:dyDescent="0.2">
      <c r="A97" s="25">
        <v>89</v>
      </c>
      <c r="B97" s="24" t="s">
        <v>410</v>
      </c>
      <c r="C97" s="33" t="s">
        <v>112</v>
      </c>
      <c r="D97" s="139">
        <v>12</v>
      </c>
      <c r="E97" s="138" t="s">
        <v>291</v>
      </c>
      <c r="F97" s="138" t="s">
        <v>291</v>
      </c>
      <c r="G97" s="138" t="s">
        <v>291</v>
      </c>
      <c r="H97" s="138" t="s">
        <v>291</v>
      </c>
      <c r="I97" s="138" t="s">
        <v>291</v>
      </c>
      <c r="J97" s="138" t="s">
        <v>291</v>
      </c>
      <c r="K97" s="138" t="s">
        <v>291</v>
      </c>
      <c r="L97" s="138" t="s">
        <v>291</v>
      </c>
      <c r="M97" s="138" t="s">
        <v>291</v>
      </c>
      <c r="N97" s="138" t="s">
        <v>291</v>
      </c>
      <c r="O97" s="138" t="s">
        <v>291</v>
      </c>
      <c r="P97" s="138" t="s">
        <v>291</v>
      </c>
      <c r="Q97" s="138" t="s">
        <v>291</v>
      </c>
      <c r="R97" s="138" t="s">
        <v>291</v>
      </c>
      <c r="S97" s="138" t="s">
        <v>291</v>
      </c>
      <c r="T97" s="138" t="s">
        <v>291</v>
      </c>
      <c r="U97" s="138" t="s">
        <v>291</v>
      </c>
      <c r="V97" s="138" t="s">
        <v>291</v>
      </c>
      <c r="W97" s="138" t="s">
        <v>291</v>
      </c>
      <c r="X97" s="138" t="s">
        <v>291</v>
      </c>
      <c r="Y97" s="138">
        <v>18.34</v>
      </c>
      <c r="Z97" s="138" t="s">
        <v>291</v>
      </c>
      <c r="AA97" s="138" t="s">
        <v>291</v>
      </c>
      <c r="AB97" s="138" t="s">
        <v>291</v>
      </c>
      <c r="AC97" s="138">
        <v>12.47</v>
      </c>
      <c r="AD97" s="138">
        <v>13.32</v>
      </c>
      <c r="AE97" s="138" t="s">
        <v>291</v>
      </c>
      <c r="AF97" s="138" t="s">
        <v>291</v>
      </c>
      <c r="AG97" s="138" t="s">
        <v>291</v>
      </c>
      <c r="AH97" s="138" t="s">
        <v>291</v>
      </c>
      <c r="AI97" s="138" t="s">
        <v>291</v>
      </c>
      <c r="AJ97" s="138" t="s">
        <v>291</v>
      </c>
      <c r="AK97" s="138" t="s">
        <v>291</v>
      </c>
      <c r="AL97" s="138" t="s">
        <v>291</v>
      </c>
      <c r="AM97" s="149">
        <f>SUM(X97:AD97)/3</f>
        <v>14.71</v>
      </c>
      <c r="AN97" s="156">
        <f t="shared" si="10"/>
        <v>176.52</v>
      </c>
    </row>
    <row r="98" spans="1:40" x14ac:dyDescent="0.2">
      <c r="A98" s="25">
        <v>90</v>
      </c>
      <c r="B98" s="24" t="s">
        <v>306</v>
      </c>
      <c r="C98" s="33" t="s">
        <v>112</v>
      </c>
      <c r="D98" s="139">
        <v>12</v>
      </c>
      <c r="E98" s="138" t="s">
        <v>291</v>
      </c>
      <c r="F98" s="138" t="s">
        <v>291</v>
      </c>
      <c r="G98" s="138" t="s">
        <v>291</v>
      </c>
      <c r="H98" s="138" t="s">
        <v>291</v>
      </c>
      <c r="I98" s="138" t="s">
        <v>291</v>
      </c>
      <c r="J98" s="138" t="s">
        <v>291</v>
      </c>
      <c r="K98" s="138" t="s">
        <v>291</v>
      </c>
      <c r="L98" s="138" t="s">
        <v>291</v>
      </c>
      <c r="M98" s="138" t="s">
        <v>291</v>
      </c>
      <c r="N98" s="138" t="s">
        <v>291</v>
      </c>
      <c r="O98" s="138" t="s">
        <v>291</v>
      </c>
      <c r="P98" s="138" t="s">
        <v>291</v>
      </c>
      <c r="Q98" s="138">
        <v>4.59</v>
      </c>
      <c r="R98" s="138" t="s">
        <v>291</v>
      </c>
      <c r="S98" s="138" t="s">
        <v>291</v>
      </c>
      <c r="T98" s="138" t="s">
        <v>291</v>
      </c>
      <c r="U98" s="138" t="s">
        <v>291</v>
      </c>
      <c r="V98" s="138">
        <v>7.07</v>
      </c>
      <c r="W98" s="138" t="s">
        <v>291</v>
      </c>
      <c r="X98" s="138">
        <v>4.9000000000000004</v>
      </c>
      <c r="Y98" s="138" t="s">
        <v>291</v>
      </c>
      <c r="Z98" s="138" t="s">
        <v>291</v>
      </c>
      <c r="AA98" s="138" t="s">
        <v>291</v>
      </c>
      <c r="AB98" s="138" t="s">
        <v>291</v>
      </c>
      <c r="AC98" s="138" t="s">
        <v>291</v>
      </c>
      <c r="AD98" s="138" t="s">
        <v>291</v>
      </c>
      <c r="AE98" s="138" t="s">
        <v>291</v>
      </c>
      <c r="AF98" s="138" t="s">
        <v>291</v>
      </c>
      <c r="AG98" s="138" t="s">
        <v>291</v>
      </c>
      <c r="AH98" s="138" t="s">
        <v>291</v>
      </c>
      <c r="AI98" s="138" t="s">
        <v>291</v>
      </c>
      <c r="AJ98" s="138" t="s">
        <v>291</v>
      </c>
      <c r="AK98" s="138" t="s">
        <v>291</v>
      </c>
      <c r="AL98" s="138" t="s">
        <v>291</v>
      </c>
      <c r="AM98" s="149">
        <f>SUM(Q98:X98)/3</f>
        <v>5.5200000000000005</v>
      </c>
      <c r="AN98" s="156">
        <f t="shared" si="10"/>
        <v>66.240000000000009</v>
      </c>
    </row>
    <row r="99" spans="1:40" x14ac:dyDescent="0.2">
      <c r="A99" s="25">
        <v>91</v>
      </c>
      <c r="B99" s="24" t="s">
        <v>303</v>
      </c>
      <c r="C99" s="33" t="s">
        <v>112</v>
      </c>
      <c r="D99" s="139">
        <v>300</v>
      </c>
      <c r="E99" s="138" t="s">
        <v>291</v>
      </c>
      <c r="F99" s="138" t="s">
        <v>291</v>
      </c>
      <c r="G99" s="138" t="s">
        <v>291</v>
      </c>
      <c r="H99" s="138" t="s">
        <v>291</v>
      </c>
      <c r="I99" s="138" t="s">
        <v>291</v>
      </c>
      <c r="J99" s="138" t="s">
        <v>291</v>
      </c>
      <c r="K99" s="138" t="s">
        <v>291</v>
      </c>
      <c r="L99" s="138" t="s">
        <v>291</v>
      </c>
      <c r="M99" s="138" t="s">
        <v>291</v>
      </c>
      <c r="N99" s="138">
        <v>5.19</v>
      </c>
      <c r="O99" s="138" t="s">
        <v>291</v>
      </c>
      <c r="P99" s="138" t="s">
        <v>291</v>
      </c>
      <c r="Q99" s="138">
        <v>8</v>
      </c>
      <c r="R99" s="138" t="s">
        <v>291</v>
      </c>
      <c r="S99" s="138" t="s">
        <v>291</v>
      </c>
      <c r="T99" s="138" t="s">
        <v>291</v>
      </c>
      <c r="U99" s="138" t="s">
        <v>291</v>
      </c>
      <c r="V99" s="138" t="s">
        <v>291</v>
      </c>
      <c r="W99" s="138" t="s">
        <v>291</v>
      </c>
      <c r="X99" s="138">
        <v>4.9000000000000004</v>
      </c>
      <c r="Y99" s="138" t="s">
        <v>291</v>
      </c>
      <c r="Z99" s="138" t="s">
        <v>291</v>
      </c>
      <c r="AA99" s="138" t="s">
        <v>291</v>
      </c>
      <c r="AB99" s="138" t="s">
        <v>291</v>
      </c>
      <c r="AC99" s="138" t="s">
        <v>291</v>
      </c>
      <c r="AD99" s="138" t="s">
        <v>291</v>
      </c>
      <c r="AE99" s="138" t="s">
        <v>291</v>
      </c>
      <c r="AF99" s="138" t="s">
        <v>291</v>
      </c>
      <c r="AG99" s="138" t="s">
        <v>291</v>
      </c>
      <c r="AH99" s="138" t="s">
        <v>291</v>
      </c>
      <c r="AI99" s="138" t="s">
        <v>291</v>
      </c>
      <c r="AJ99" s="138" t="s">
        <v>291</v>
      </c>
      <c r="AK99" s="138" t="s">
        <v>291</v>
      </c>
      <c r="AL99" s="138" t="s">
        <v>291</v>
      </c>
      <c r="AM99" s="149">
        <f>SUM(N99:X99)/3</f>
        <v>6.0300000000000011</v>
      </c>
      <c r="AN99" s="156">
        <f t="shared" si="10"/>
        <v>1809.0000000000005</v>
      </c>
    </row>
    <row r="100" spans="1:40" x14ac:dyDescent="0.2">
      <c r="A100" s="25">
        <v>92</v>
      </c>
      <c r="B100" s="24" t="s">
        <v>155</v>
      </c>
      <c r="C100" s="33" t="s">
        <v>112</v>
      </c>
      <c r="D100" s="139">
        <v>60</v>
      </c>
      <c r="E100" s="138" t="s">
        <v>291</v>
      </c>
      <c r="F100" s="138" t="s">
        <v>291</v>
      </c>
      <c r="G100" s="138" t="s">
        <v>291</v>
      </c>
      <c r="H100" s="138" t="s">
        <v>291</v>
      </c>
      <c r="I100" s="138" t="s">
        <v>291</v>
      </c>
      <c r="J100" s="138" t="s">
        <v>291</v>
      </c>
      <c r="K100" s="138" t="s">
        <v>291</v>
      </c>
      <c r="L100" s="138" t="s">
        <v>291</v>
      </c>
      <c r="M100" s="138" t="s">
        <v>291</v>
      </c>
      <c r="N100" s="138" t="s">
        <v>291</v>
      </c>
      <c r="O100" s="138" t="s">
        <v>291</v>
      </c>
      <c r="P100" s="138" t="s">
        <v>291</v>
      </c>
      <c r="Q100" s="138">
        <v>42</v>
      </c>
      <c r="R100" s="138" t="s">
        <v>291</v>
      </c>
      <c r="S100" s="138" t="s">
        <v>291</v>
      </c>
      <c r="T100" s="138" t="s">
        <v>291</v>
      </c>
      <c r="U100" s="138" t="s">
        <v>291</v>
      </c>
      <c r="V100" s="138" t="s">
        <v>291</v>
      </c>
      <c r="W100" s="138">
        <v>42.67</v>
      </c>
      <c r="X100" s="138">
        <v>36.700000000000003</v>
      </c>
      <c r="Y100" s="138" t="s">
        <v>291</v>
      </c>
      <c r="Z100" s="138" t="s">
        <v>291</v>
      </c>
      <c r="AA100" s="138" t="s">
        <v>291</v>
      </c>
      <c r="AB100" s="138" t="s">
        <v>291</v>
      </c>
      <c r="AC100" s="138" t="s">
        <v>291</v>
      </c>
      <c r="AD100" s="138" t="s">
        <v>291</v>
      </c>
      <c r="AE100" s="138" t="s">
        <v>291</v>
      </c>
      <c r="AF100" s="138" t="s">
        <v>291</v>
      </c>
      <c r="AG100" s="138" t="s">
        <v>291</v>
      </c>
      <c r="AH100" s="138" t="s">
        <v>291</v>
      </c>
      <c r="AI100" s="138" t="s">
        <v>291</v>
      </c>
      <c r="AJ100" s="138" t="s">
        <v>291</v>
      </c>
      <c r="AK100" s="138" t="s">
        <v>291</v>
      </c>
      <c r="AL100" s="138" t="s">
        <v>291</v>
      </c>
      <c r="AM100" s="149">
        <f>SUM(Q100:X100)/3</f>
        <v>40.456666666666671</v>
      </c>
      <c r="AN100" s="156">
        <f t="shared" si="10"/>
        <v>2427.4</v>
      </c>
    </row>
    <row r="101" spans="1:40" x14ac:dyDescent="0.2">
      <c r="A101" s="25">
        <v>93</v>
      </c>
      <c r="B101" s="24" t="s">
        <v>156</v>
      </c>
      <c r="C101" s="33" t="s">
        <v>112</v>
      </c>
      <c r="D101" s="139">
        <v>10</v>
      </c>
      <c r="E101" s="138">
        <v>16.11</v>
      </c>
      <c r="F101" s="138" t="s">
        <v>291</v>
      </c>
      <c r="G101" s="138" t="s">
        <v>291</v>
      </c>
      <c r="H101" s="138" t="s">
        <v>291</v>
      </c>
      <c r="I101" s="138" t="s">
        <v>291</v>
      </c>
      <c r="J101" s="138" t="s">
        <v>291</v>
      </c>
      <c r="K101" s="138" t="s">
        <v>291</v>
      </c>
      <c r="L101" s="138" t="s">
        <v>291</v>
      </c>
      <c r="M101" s="138" t="s">
        <v>291</v>
      </c>
      <c r="N101" s="138" t="s">
        <v>291</v>
      </c>
      <c r="O101" s="138" t="s">
        <v>291</v>
      </c>
      <c r="P101" s="138" t="s">
        <v>291</v>
      </c>
      <c r="Q101" s="138" t="s">
        <v>291</v>
      </c>
      <c r="R101" s="138" t="s">
        <v>291</v>
      </c>
      <c r="S101" s="138" t="s">
        <v>291</v>
      </c>
      <c r="T101" s="138" t="s">
        <v>291</v>
      </c>
      <c r="U101" s="138" t="s">
        <v>291</v>
      </c>
      <c r="V101" s="138" t="s">
        <v>291</v>
      </c>
      <c r="W101" s="138" t="s">
        <v>291</v>
      </c>
      <c r="X101" s="138" t="s">
        <v>291</v>
      </c>
      <c r="Y101" s="138" t="s">
        <v>291</v>
      </c>
      <c r="Z101" s="138" t="s">
        <v>291</v>
      </c>
      <c r="AA101" s="138" t="s">
        <v>291</v>
      </c>
      <c r="AB101" s="138" t="s">
        <v>291</v>
      </c>
      <c r="AC101" s="138" t="s">
        <v>291</v>
      </c>
      <c r="AD101" s="138" t="s">
        <v>291</v>
      </c>
      <c r="AE101" s="138" t="s">
        <v>291</v>
      </c>
      <c r="AF101" s="138" t="s">
        <v>291</v>
      </c>
      <c r="AG101" s="138" t="s">
        <v>291</v>
      </c>
      <c r="AH101" s="138" t="s">
        <v>291</v>
      </c>
      <c r="AI101" s="138" t="s">
        <v>291</v>
      </c>
      <c r="AJ101" s="138" t="s">
        <v>291</v>
      </c>
      <c r="AK101" s="138" t="s">
        <v>291</v>
      </c>
      <c r="AL101" s="138" t="s">
        <v>291</v>
      </c>
      <c r="AM101" s="149">
        <v>16.11</v>
      </c>
      <c r="AN101" s="156">
        <f t="shared" si="10"/>
        <v>161.1</v>
      </c>
    </row>
    <row r="102" spans="1:40" x14ac:dyDescent="0.2">
      <c r="A102" s="25">
        <v>94</v>
      </c>
      <c r="B102" s="24" t="s">
        <v>165</v>
      </c>
      <c r="C102" s="33" t="s">
        <v>112</v>
      </c>
      <c r="D102" s="139">
        <v>200</v>
      </c>
      <c r="E102" s="138" t="s">
        <v>291</v>
      </c>
      <c r="F102" s="138" t="s">
        <v>291</v>
      </c>
      <c r="G102" s="138" t="s">
        <v>291</v>
      </c>
      <c r="H102" s="138" t="s">
        <v>291</v>
      </c>
      <c r="I102" s="138" t="s">
        <v>291</v>
      </c>
      <c r="J102" s="138" t="s">
        <v>291</v>
      </c>
      <c r="K102" s="138" t="s">
        <v>291</v>
      </c>
      <c r="L102" s="138" t="s">
        <v>291</v>
      </c>
      <c r="M102" s="138" t="s">
        <v>291</v>
      </c>
      <c r="N102" s="138" t="s">
        <v>291</v>
      </c>
      <c r="O102" s="138" t="s">
        <v>291</v>
      </c>
      <c r="P102" s="138" t="s">
        <v>291</v>
      </c>
      <c r="Q102" s="138" t="s">
        <v>291</v>
      </c>
      <c r="R102" s="138" t="s">
        <v>291</v>
      </c>
      <c r="S102" s="138" t="s">
        <v>291</v>
      </c>
      <c r="T102" s="138" t="s">
        <v>291</v>
      </c>
      <c r="U102" s="138" t="s">
        <v>291</v>
      </c>
      <c r="V102" s="138" t="s">
        <v>291</v>
      </c>
      <c r="W102" s="138" t="s">
        <v>291</v>
      </c>
      <c r="X102" s="138" t="s">
        <v>291</v>
      </c>
      <c r="Y102" s="138" t="s">
        <v>291</v>
      </c>
      <c r="Z102" s="138" t="s">
        <v>291</v>
      </c>
      <c r="AA102" s="138">
        <v>12.11</v>
      </c>
      <c r="AB102" s="138" t="s">
        <v>291</v>
      </c>
      <c r="AC102" s="138" t="s">
        <v>291</v>
      </c>
      <c r="AD102" s="138">
        <v>11.66</v>
      </c>
      <c r="AE102" s="138" t="s">
        <v>291</v>
      </c>
      <c r="AF102" s="138">
        <v>11.95</v>
      </c>
      <c r="AG102" s="138" t="s">
        <v>291</v>
      </c>
      <c r="AH102" s="138" t="s">
        <v>291</v>
      </c>
      <c r="AI102" s="138" t="s">
        <v>291</v>
      </c>
      <c r="AJ102" s="138" t="s">
        <v>291</v>
      </c>
      <c r="AK102" s="138" t="s">
        <v>291</v>
      </c>
      <c r="AL102" s="138" t="s">
        <v>291</v>
      </c>
      <c r="AM102" s="145">
        <f>SUM(Y102:AL102)/3</f>
        <v>11.906666666666666</v>
      </c>
      <c r="AN102" s="156">
        <f t="shared" si="10"/>
        <v>2381.333333333333</v>
      </c>
    </row>
    <row r="103" spans="1:40" x14ac:dyDescent="0.2">
      <c r="A103" s="25">
        <v>95</v>
      </c>
      <c r="B103" s="24" t="s">
        <v>171</v>
      </c>
      <c r="C103" s="33" t="s">
        <v>112</v>
      </c>
      <c r="D103" s="139">
        <v>50</v>
      </c>
      <c r="E103" s="138">
        <v>25.19</v>
      </c>
      <c r="F103" s="138" t="s">
        <v>291</v>
      </c>
      <c r="G103" s="138" t="s">
        <v>291</v>
      </c>
      <c r="H103" s="138" t="s">
        <v>291</v>
      </c>
      <c r="I103" s="138" t="s">
        <v>291</v>
      </c>
      <c r="J103" s="138" t="s">
        <v>291</v>
      </c>
      <c r="K103" s="138" t="s">
        <v>291</v>
      </c>
      <c r="L103" s="138" t="s">
        <v>291</v>
      </c>
      <c r="M103" s="138" t="s">
        <v>291</v>
      </c>
      <c r="N103" s="138" t="s">
        <v>291</v>
      </c>
      <c r="O103" s="138" t="s">
        <v>291</v>
      </c>
      <c r="P103" s="138" t="s">
        <v>291</v>
      </c>
      <c r="Q103" s="138" t="s">
        <v>291</v>
      </c>
      <c r="R103" s="138" t="s">
        <v>291</v>
      </c>
      <c r="S103" s="138" t="s">
        <v>291</v>
      </c>
      <c r="T103" s="138" t="s">
        <v>291</v>
      </c>
      <c r="U103" s="138" t="s">
        <v>291</v>
      </c>
      <c r="V103" s="138" t="s">
        <v>291</v>
      </c>
      <c r="W103" s="138" t="s">
        <v>291</v>
      </c>
      <c r="X103" s="138" t="s">
        <v>291</v>
      </c>
      <c r="Y103" s="138" t="s">
        <v>291</v>
      </c>
      <c r="Z103" s="138" t="s">
        <v>291</v>
      </c>
      <c r="AA103" s="138" t="s">
        <v>291</v>
      </c>
      <c r="AB103" s="138" t="s">
        <v>291</v>
      </c>
      <c r="AC103" s="138" t="s">
        <v>291</v>
      </c>
      <c r="AD103" s="138" t="s">
        <v>291</v>
      </c>
      <c r="AE103" s="138" t="s">
        <v>291</v>
      </c>
      <c r="AF103" s="138" t="s">
        <v>291</v>
      </c>
      <c r="AG103" s="138" t="s">
        <v>291</v>
      </c>
      <c r="AH103" s="138"/>
      <c r="AI103" s="138"/>
      <c r="AJ103" s="138" t="s">
        <v>291</v>
      </c>
      <c r="AK103" s="138"/>
      <c r="AL103" s="138" t="s">
        <v>291</v>
      </c>
      <c r="AM103" s="149">
        <v>25.19</v>
      </c>
      <c r="AN103" s="156">
        <f t="shared" si="10"/>
        <v>1259.5</v>
      </c>
    </row>
    <row r="104" spans="1:40" x14ac:dyDescent="0.2">
      <c r="A104" s="25">
        <v>96</v>
      </c>
      <c r="B104" s="24" t="s">
        <v>144</v>
      </c>
      <c r="C104" s="33" t="s">
        <v>130</v>
      </c>
      <c r="D104" s="139">
        <v>28</v>
      </c>
      <c r="E104" s="25" t="s">
        <v>291</v>
      </c>
      <c r="F104" s="138">
        <v>112.55</v>
      </c>
      <c r="G104" s="138">
        <v>92.61</v>
      </c>
      <c r="H104" s="138">
        <v>135</v>
      </c>
      <c r="I104" s="138">
        <v>290</v>
      </c>
      <c r="J104" s="138">
        <v>90</v>
      </c>
      <c r="K104" s="138" t="s">
        <v>291</v>
      </c>
      <c r="L104" s="138" t="s">
        <v>291</v>
      </c>
      <c r="M104" s="138" t="s">
        <v>291</v>
      </c>
      <c r="N104" s="138" t="s">
        <v>291</v>
      </c>
      <c r="O104" s="138" t="s">
        <v>291</v>
      </c>
      <c r="P104" s="138" t="s">
        <v>291</v>
      </c>
      <c r="Q104" s="138" t="s">
        <v>291</v>
      </c>
      <c r="R104" s="138" t="s">
        <v>291</v>
      </c>
      <c r="S104" s="138" t="s">
        <v>291</v>
      </c>
      <c r="T104" s="138" t="s">
        <v>291</v>
      </c>
      <c r="U104" s="138" t="s">
        <v>291</v>
      </c>
      <c r="V104" s="138" t="s">
        <v>291</v>
      </c>
      <c r="W104" s="138" t="s">
        <v>291</v>
      </c>
      <c r="X104" s="138" t="s">
        <v>291</v>
      </c>
      <c r="Y104" s="138" t="s">
        <v>291</v>
      </c>
      <c r="Z104" s="138" t="s">
        <v>291</v>
      </c>
      <c r="AA104" s="138" t="s">
        <v>291</v>
      </c>
      <c r="AB104" s="138" t="s">
        <v>291</v>
      </c>
      <c r="AC104" s="138" t="s">
        <v>291</v>
      </c>
      <c r="AD104" s="138" t="s">
        <v>291</v>
      </c>
      <c r="AE104" s="138" t="s">
        <v>291</v>
      </c>
      <c r="AF104" s="138" t="s">
        <v>291</v>
      </c>
      <c r="AG104" s="138" t="s">
        <v>291</v>
      </c>
      <c r="AH104" s="138" t="s">
        <v>291</v>
      </c>
      <c r="AI104" s="138" t="s">
        <v>291</v>
      </c>
      <c r="AJ104" s="138" t="s">
        <v>291</v>
      </c>
      <c r="AK104" s="138" t="s">
        <v>291</v>
      </c>
      <c r="AL104" s="138" t="s">
        <v>291</v>
      </c>
      <c r="AM104" s="145">
        <f>SUM(E104:AL104)/5</f>
        <v>144.03199999999998</v>
      </c>
      <c r="AN104" s="156">
        <f>AM104*D104</f>
        <v>4032.8959999999997</v>
      </c>
    </row>
    <row r="105" spans="1:40" x14ac:dyDescent="0.2">
      <c r="A105" s="25">
        <v>97</v>
      </c>
      <c r="B105" s="24" t="s">
        <v>145</v>
      </c>
      <c r="C105" s="33" t="s">
        <v>146</v>
      </c>
      <c r="D105" s="139">
        <v>12</v>
      </c>
      <c r="E105" s="25" t="s">
        <v>291</v>
      </c>
      <c r="F105" s="25" t="s">
        <v>291</v>
      </c>
      <c r="G105" s="25" t="s">
        <v>291</v>
      </c>
      <c r="H105" s="25" t="s">
        <v>291</v>
      </c>
      <c r="I105" s="138">
        <v>160</v>
      </c>
      <c r="J105" s="138">
        <v>67.5</v>
      </c>
      <c r="K105" s="138" t="s">
        <v>291</v>
      </c>
      <c r="L105" s="138" t="s">
        <v>291</v>
      </c>
      <c r="M105" s="138" t="s">
        <v>291</v>
      </c>
      <c r="N105" s="138" t="s">
        <v>291</v>
      </c>
      <c r="O105" s="138" t="s">
        <v>291</v>
      </c>
      <c r="P105" s="138" t="s">
        <v>291</v>
      </c>
      <c r="Q105" s="138" t="s">
        <v>291</v>
      </c>
      <c r="R105" s="138" t="s">
        <v>291</v>
      </c>
      <c r="S105" s="138" t="s">
        <v>291</v>
      </c>
      <c r="T105" s="138" t="s">
        <v>291</v>
      </c>
      <c r="U105" s="138" t="s">
        <v>291</v>
      </c>
      <c r="V105" s="138" t="s">
        <v>291</v>
      </c>
      <c r="W105" s="138" t="s">
        <v>291</v>
      </c>
      <c r="X105" s="138" t="s">
        <v>291</v>
      </c>
      <c r="Y105" s="138" t="s">
        <v>291</v>
      </c>
      <c r="Z105" s="138" t="s">
        <v>291</v>
      </c>
      <c r="AA105" s="138" t="s">
        <v>291</v>
      </c>
      <c r="AB105" s="138" t="s">
        <v>291</v>
      </c>
      <c r="AC105" s="138" t="s">
        <v>291</v>
      </c>
      <c r="AD105" s="138" t="s">
        <v>291</v>
      </c>
      <c r="AE105" s="138" t="s">
        <v>291</v>
      </c>
      <c r="AF105" s="138" t="s">
        <v>291</v>
      </c>
      <c r="AG105" s="138" t="s">
        <v>291</v>
      </c>
      <c r="AH105" s="138" t="s">
        <v>291</v>
      </c>
      <c r="AI105" s="138" t="s">
        <v>291</v>
      </c>
      <c r="AJ105" s="138" t="s">
        <v>291</v>
      </c>
      <c r="AK105" s="138" t="s">
        <v>291</v>
      </c>
      <c r="AL105" s="138" t="s">
        <v>291</v>
      </c>
      <c r="AM105" s="145">
        <f>SUM(F105:AL105)/2</f>
        <v>113.75</v>
      </c>
      <c r="AN105" s="156">
        <f>AM105*D105</f>
        <v>1365</v>
      </c>
    </row>
    <row r="106" spans="1:40" ht="31.5" x14ac:dyDescent="0.2">
      <c r="A106" s="25">
        <v>98</v>
      </c>
      <c r="B106" s="161" t="s">
        <v>398</v>
      </c>
      <c r="C106" s="33" t="s">
        <v>147</v>
      </c>
      <c r="D106" s="139">
        <v>10</v>
      </c>
      <c r="E106" s="25" t="s">
        <v>291</v>
      </c>
      <c r="F106" s="25" t="s">
        <v>291</v>
      </c>
      <c r="G106" s="25" t="s">
        <v>291</v>
      </c>
      <c r="H106" s="25" t="s">
        <v>291</v>
      </c>
      <c r="I106" s="138">
        <v>45</v>
      </c>
      <c r="J106" s="138">
        <v>162</v>
      </c>
      <c r="K106" s="138" t="s">
        <v>291</v>
      </c>
      <c r="L106" s="138" t="s">
        <v>291</v>
      </c>
      <c r="M106" s="138" t="s">
        <v>291</v>
      </c>
      <c r="N106" s="138" t="s">
        <v>291</v>
      </c>
      <c r="O106" s="138" t="s">
        <v>291</v>
      </c>
      <c r="P106" s="138" t="s">
        <v>291</v>
      </c>
      <c r="Q106" s="138" t="s">
        <v>291</v>
      </c>
      <c r="R106" s="138" t="s">
        <v>291</v>
      </c>
      <c r="S106" s="138" t="s">
        <v>291</v>
      </c>
      <c r="T106" s="138" t="s">
        <v>291</v>
      </c>
      <c r="U106" s="138" t="s">
        <v>291</v>
      </c>
      <c r="V106" s="138" t="s">
        <v>291</v>
      </c>
      <c r="W106" s="138" t="s">
        <v>291</v>
      </c>
      <c r="X106" s="138" t="s">
        <v>291</v>
      </c>
      <c r="Y106" s="138" t="s">
        <v>291</v>
      </c>
      <c r="Z106" s="138" t="s">
        <v>291</v>
      </c>
      <c r="AA106" s="138" t="s">
        <v>291</v>
      </c>
      <c r="AB106" s="138" t="s">
        <v>291</v>
      </c>
      <c r="AC106" s="138" t="s">
        <v>291</v>
      </c>
      <c r="AD106" s="138" t="s">
        <v>291</v>
      </c>
      <c r="AE106" s="138" t="s">
        <v>291</v>
      </c>
      <c r="AF106" s="138" t="s">
        <v>291</v>
      </c>
      <c r="AG106" s="138" t="s">
        <v>291</v>
      </c>
      <c r="AH106" s="138" t="s">
        <v>291</v>
      </c>
      <c r="AI106" s="138" t="s">
        <v>291</v>
      </c>
      <c r="AJ106" s="138" t="s">
        <v>291</v>
      </c>
      <c r="AK106" s="138" t="s">
        <v>291</v>
      </c>
      <c r="AL106" s="138" t="s">
        <v>291</v>
      </c>
      <c r="AM106" s="145">
        <f>SUM(F106:AL106)/2</f>
        <v>103.5</v>
      </c>
      <c r="AN106" s="156">
        <f t="shared" ref="AN106:AN107" si="11">AM106*D106</f>
        <v>1035</v>
      </c>
    </row>
    <row r="107" spans="1:40" ht="31.5" x14ac:dyDescent="0.2">
      <c r="A107" s="25">
        <v>99</v>
      </c>
      <c r="B107" s="161" t="s">
        <v>399</v>
      </c>
      <c r="C107" s="33" t="s">
        <v>147</v>
      </c>
      <c r="D107" s="139">
        <v>10</v>
      </c>
      <c r="E107" s="25" t="s">
        <v>291</v>
      </c>
      <c r="F107" s="25" t="s">
        <v>291</v>
      </c>
      <c r="G107" s="25" t="s">
        <v>291</v>
      </c>
      <c r="H107" s="25" t="s">
        <v>291</v>
      </c>
      <c r="I107" s="138">
        <v>110</v>
      </c>
      <c r="J107" s="138">
        <v>72</v>
      </c>
      <c r="K107" s="138" t="s">
        <v>291</v>
      </c>
      <c r="L107" s="138" t="s">
        <v>291</v>
      </c>
      <c r="M107" s="138" t="s">
        <v>291</v>
      </c>
      <c r="N107" s="138" t="s">
        <v>291</v>
      </c>
      <c r="O107" s="138" t="s">
        <v>291</v>
      </c>
      <c r="P107" s="138" t="s">
        <v>291</v>
      </c>
      <c r="Q107" s="138" t="s">
        <v>291</v>
      </c>
      <c r="R107" s="138" t="s">
        <v>291</v>
      </c>
      <c r="S107" s="138" t="s">
        <v>291</v>
      </c>
      <c r="T107" s="138" t="s">
        <v>291</v>
      </c>
      <c r="U107" s="138" t="s">
        <v>291</v>
      </c>
      <c r="V107" s="138" t="s">
        <v>291</v>
      </c>
      <c r="W107" s="138" t="s">
        <v>291</v>
      </c>
      <c r="X107" s="138" t="s">
        <v>291</v>
      </c>
      <c r="Y107" s="138" t="s">
        <v>291</v>
      </c>
      <c r="Z107" s="138" t="s">
        <v>291</v>
      </c>
      <c r="AA107" s="138" t="s">
        <v>291</v>
      </c>
      <c r="AB107" s="138" t="s">
        <v>291</v>
      </c>
      <c r="AC107" s="138" t="s">
        <v>291</v>
      </c>
      <c r="AD107" s="138" t="s">
        <v>291</v>
      </c>
      <c r="AE107" s="138" t="s">
        <v>291</v>
      </c>
      <c r="AF107" s="138" t="s">
        <v>291</v>
      </c>
      <c r="AG107" s="138" t="s">
        <v>291</v>
      </c>
      <c r="AH107" s="138" t="s">
        <v>291</v>
      </c>
      <c r="AI107" s="138" t="s">
        <v>291</v>
      </c>
      <c r="AJ107" s="138" t="s">
        <v>291</v>
      </c>
      <c r="AK107" s="138" t="s">
        <v>291</v>
      </c>
      <c r="AL107" s="138" t="s">
        <v>291</v>
      </c>
      <c r="AM107" s="145">
        <f>SUM(F107:AL107)/2</f>
        <v>91</v>
      </c>
      <c r="AN107" s="156">
        <f t="shared" si="11"/>
        <v>910</v>
      </c>
    </row>
    <row r="108" spans="1:40" x14ac:dyDescent="0.2">
      <c r="A108" s="25">
        <v>100</v>
      </c>
      <c r="B108" s="24" t="s">
        <v>157</v>
      </c>
      <c r="C108" s="33" t="s">
        <v>112</v>
      </c>
      <c r="D108" s="139">
        <v>12</v>
      </c>
      <c r="E108" s="138" t="s">
        <v>291</v>
      </c>
      <c r="F108" s="138" t="s">
        <v>291</v>
      </c>
      <c r="G108" s="138" t="s">
        <v>291</v>
      </c>
      <c r="H108" s="138" t="s">
        <v>291</v>
      </c>
      <c r="I108" s="138" t="s">
        <v>291</v>
      </c>
      <c r="J108" s="138" t="s">
        <v>291</v>
      </c>
      <c r="K108" s="138" t="s">
        <v>291</v>
      </c>
      <c r="L108" s="138" t="s">
        <v>291</v>
      </c>
      <c r="M108" s="138" t="s">
        <v>291</v>
      </c>
      <c r="N108" s="138" t="s">
        <v>291</v>
      </c>
      <c r="O108" s="138" t="s">
        <v>291</v>
      </c>
      <c r="P108" s="138" t="s">
        <v>291</v>
      </c>
      <c r="Q108" s="138">
        <v>988.89</v>
      </c>
      <c r="R108" s="138" t="s">
        <v>291</v>
      </c>
      <c r="S108" s="138" t="s">
        <v>291</v>
      </c>
      <c r="T108" s="138" t="s">
        <v>291</v>
      </c>
      <c r="U108" s="138">
        <v>1045</v>
      </c>
      <c r="V108" s="138" t="s">
        <v>291</v>
      </c>
      <c r="W108" s="138" t="s">
        <v>291</v>
      </c>
      <c r="X108" s="138">
        <v>1104</v>
      </c>
      <c r="Y108" s="138" t="s">
        <v>291</v>
      </c>
      <c r="Z108" s="138" t="s">
        <v>291</v>
      </c>
      <c r="AA108" s="138" t="s">
        <v>291</v>
      </c>
      <c r="AB108" s="138" t="s">
        <v>291</v>
      </c>
      <c r="AC108" s="138" t="s">
        <v>291</v>
      </c>
      <c r="AD108" s="138" t="s">
        <v>291</v>
      </c>
      <c r="AE108" s="138" t="s">
        <v>291</v>
      </c>
      <c r="AF108" s="138" t="s">
        <v>291</v>
      </c>
      <c r="AG108" s="138" t="s">
        <v>291</v>
      </c>
      <c r="AH108" s="138" t="s">
        <v>291</v>
      </c>
      <c r="AI108" s="138" t="s">
        <v>291</v>
      </c>
      <c r="AJ108" s="138" t="s">
        <v>291</v>
      </c>
      <c r="AK108" s="138" t="s">
        <v>291</v>
      </c>
      <c r="AL108" s="138" t="s">
        <v>291</v>
      </c>
      <c r="AM108" s="149">
        <f>SUM(Q108:X108)/3</f>
        <v>1045.9633333333334</v>
      </c>
      <c r="AN108" s="156">
        <f>AM108*D108</f>
        <v>12551.560000000001</v>
      </c>
    </row>
    <row r="109" spans="1:40" x14ac:dyDescent="0.2">
      <c r="A109" s="25">
        <v>101</v>
      </c>
      <c r="B109" s="24" t="s">
        <v>158</v>
      </c>
      <c r="C109" s="33" t="s">
        <v>112</v>
      </c>
      <c r="D109" s="139">
        <v>24</v>
      </c>
      <c r="E109" s="138" t="s">
        <v>291</v>
      </c>
      <c r="F109" s="138" t="s">
        <v>291</v>
      </c>
      <c r="G109" s="138" t="s">
        <v>291</v>
      </c>
      <c r="H109" s="138" t="s">
        <v>291</v>
      </c>
      <c r="I109" s="138" t="s">
        <v>291</v>
      </c>
      <c r="J109" s="138" t="s">
        <v>291</v>
      </c>
      <c r="K109" s="138" t="s">
        <v>291</v>
      </c>
      <c r="L109" s="138" t="s">
        <v>291</v>
      </c>
      <c r="M109" s="138" t="s">
        <v>291</v>
      </c>
      <c r="N109" s="138" t="s">
        <v>291</v>
      </c>
      <c r="O109" s="138" t="s">
        <v>291</v>
      </c>
      <c r="P109" s="138" t="s">
        <v>291</v>
      </c>
      <c r="Q109" s="138">
        <v>1133.32</v>
      </c>
      <c r="R109" s="138" t="s">
        <v>291</v>
      </c>
      <c r="S109" s="138" t="s">
        <v>291</v>
      </c>
      <c r="T109" s="138" t="s">
        <v>291</v>
      </c>
      <c r="U109" s="138">
        <v>965</v>
      </c>
      <c r="V109" s="138" t="s">
        <v>291</v>
      </c>
      <c r="W109" s="138">
        <v>1189</v>
      </c>
      <c r="X109" s="138" t="s">
        <v>291</v>
      </c>
      <c r="Y109" s="138" t="s">
        <v>291</v>
      </c>
      <c r="Z109" s="138" t="s">
        <v>291</v>
      </c>
      <c r="AA109" s="138" t="s">
        <v>291</v>
      </c>
      <c r="AB109" s="138" t="s">
        <v>291</v>
      </c>
      <c r="AC109" s="138" t="s">
        <v>291</v>
      </c>
      <c r="AD109" s="138" t="s">
        <v>291</v>
      </c>
      <c r="AE109" s="138" t="s">
        <v>291</v>
      </c>
      <c r="AF109" s="138" t="s">
        <v>291</v>
      </c>
      <c r="AG109" s="138" t="s">
        <v>291</v>
      </c>
      <c r="AH109" s="138" t="s">
        <v>291</v>
      </c>
      <c r="AI109" s="138" t="s">
        <v>291</v>
      </c>
      <c r="AJ109" s="138" t="s">
        <v>291</v>
      </c>
      <c r="AK109" s="138" t="s">
        <v>291</v>
      </c>
      <c r="AL109" s="138" t="s">
        <v>291</v>
      </c>
      <c r="AM109" s="149">
        <f>SUM(Q109:X109)/3</f>
        <v>1095.7733333333333</v>
      </c>
      <c r="AN109" s="156">
        <f>AM109*D109</f>
        <v>26298.559999999998</v>
      </c>
    </row>
    <row r="110" spans="1:40" x14ac:dyDescent="0.2">
      <c r="A110" s="25">
        <v>102</v>
      </c>
      <c r="B110" s="24" t="s">
        <v>159</v>
      </c>
      <c r="C110" s="33" t="s">
        <v>112</v>
      </c>
      <c r="D110" s="139">
        <v>12</v>
      </c>
      <c r="E110" s="138" t="s">
        <v>291</v>
      </c>
      <c r="F110" s="138" t="s">
        <v>291</v>
      </c>
      <c r="G110" s="138" t="s">
        <v>291</v>
      </c>
      <c r="H110" s="138" t="s">
        <v>291</v>
      </c>
      <c r="I110" s="138" t="s">
        <v>291</v>
      </c>
      <c r="J110" s="138" t="s">
        <v>291</v>
      </c>
      <c r="K110" s="138" t="s">
        <v>291</v>
      </c>
      <c r="L110" s="138" t="s">
        <v>291</v>
      </c>
      <c r="M110" s="138" t="s">
        <v>291</v>
      </c>
      <c r="N110" s="138" t="s">
        <v>291</v>
      </c>
      <c r="O110" s="138" t="s">
        <v>291</v>
      </c>
      <c r="P110" s="138" t="s">
        <v>291</v>
      </c>
      <c r="Q110" s="138" t="s">
        <v>291</v>
      </c>
      <c r="R110" s="138" t="s">
        <v>291</v>
      </c>
      <c r="S110" s="138" t="s">
        <v>291</v>
      </c>
      <c r="T110" s="138" t="s">
        <v>291</v>
      </c>
      <c r="U110" s="138">
        <v>1390</v>
      </c>
      <c r="V110" s="138" t="s">
        <v>291</v>
      </c>
      <c r="W110" s="138">
        <v>1259</v>
      </c>
      <c r="X110" s="138">
        <v>1125</v>
      </c>
      <c r="Y110" s="138" t="s">
        <v>291</v>
      </c>
      <c r="Z110" s="138" t="s">
        <v>291</v>
      </c>
      <c r="AA110" s="138" t="s">
        <v>291</v>
      </c>
      <c r="AB110" s="138" t="s">
        <v>291</v>
      </c>
      <c r="AC110" s="138" t="s">
        <v>291</v>
      </c>
      <c r="AD110" s="138" t="s">
        <v>291</v>
      </c>
      <c r="AE110" s="138" t="s">
        <v>291</v>
      </c>
      <c r="AF110" s="138" t="s">
        <v>291</v>
      </c>
      <c r="AG110" s="138" t="s">
        <v>291</v>
      </c>
      <c r="AH110" s="138" t="s">
        <v>291</v>
      </c>
      <c r="AI110" s="138" t="s">
        <v>291</v>
      </c>
      <c r="AJ110" s="138" t="s">
        <v>291</v>
      </c>
      <c r="AK110" s="138" t="s">
        <v>291</v>
      </c>
      <c r="AL110" s="138" t="s">
        <v>291</v>
      </c>
      <c r="AM110" s="149">
        <f>SUM(E110:AD110)/3</f>
        <v>1258</v>
      </c>
      <c r="AN110" s="156">
        <f>AM110*D110</f>
        <v>15096</v>
      </c>
    </row>
    <row r="111" spans="1:40" ht="33.75" customHeight="1" x14ac:dyDescent="0.2">
      <c r="A111" s="366" t="s">
        <v>176</v>
      </c>
      <c r="B111" s="367"/>
      <c r="C111" s="367"/>
      <c r="D111" s="368"/>
      <c r="E111" s="352"/>
      <c r="F111" s="353"/>
      <c r="G111" s="353"/>
      <c r="H111" s="353"/>
      <c r="I111" s="353"/>
      <c r="J111" s="353"/>
      <c r="K111" s="353"/>
      <c r="L111" s="353"/>
      <c r="M111" s="353"/>
      <c r="N111" s="353"/>
      <c r="O111" s="353"/>
      <c r="P111" s="353"/>
      <c r="Q111" s="353"/>
      <c r="R111" s="353"/>
      <c r="S111" s="353"/>
      <c r="T111" s="353"/>
      <c r="U111" s="353"/>
      <c r="V111" s="353"/>
      <c r="W111" s="353"/>
      <c r="X111" s="353"/>
      <c r="Y111" s="353"/>
      <c r="Z111" s="353"/>
      <c r="AA111" s="353"/>
      <c r="AB111" s="353"/>
      <c r="AC111" s="353"/>
      <c r="AD111" s="353"/>
      <c r="AE111" s="353"/>
      <c r="AF111" s="353"/>
      <c r="AG111" s="353"/>
      <c r="AH111" s="353"/>
      <c r="AI111" s="353"/>
      <c r="AJ111" s="353"/>
      <c r="AK111" s="353"/>
      <c r="AL111" s="354"/>
      <c r="AM111" s="151"/>
      <c r="AN111" s="156"/>
    </row>
    <row r="112" spans="1:40" x14ac:dyDescent="0.2">
      <c r="A112" s="26">
        <v>103</v>
      </c>
      <c r="B112" s="24" t="s">
        <v>530</v>
      </c>
      <c r="C112" s="33" t="s">
        <v>112</v>
      </c>
      <c r="D112" s="139">
        <v>144</v>
      </c>
      <c r="E112" s="140" t="s">
        <v>291</v>
      </c>
      <c r="F112" s="140" t="s">
        <v>291</v>
      </c>
      <c r="G112" s="140" t="s">
        <v>291</v>
      </c>
      <c r="H112" s="140" t="s">
        <v>291</v>
      </c>
      <c r="I112" s="140" t="s">
        <v>291</v>
      </c>
      <c r="J112" s="140" t="s">
        <v>291</v>
      </c>
      <c r="K112" s="140">
        <v>5.49</v>
      </c>
      <c r="L112" s="140">
        <v>3.99</v>
      </c>
      <c r="M112" s="140">
        <v>3.27</v>
      </c>
      <c r="N112" s="140" t="s">
        <v>291</v>
      </c>
      <c r="O112" s="140" t="s">
        <v>291</v>
      </c>
      <c r="P112" s="140" t="s">
        <v>291</v>
      </c>
      <c r="Q112" s="140" t="s">
        <v>291</v>
      </c>
      <c r="R112" s="140" t="s">
        <v>291</v>
      </c>
      <c r="S112" s="140" t="s">
        <v>291</v>
      </c>
      <c r="T112" s="140" t="s">
        <v>291</v>
      </c>
      <c r="U112" s="140" t="s">
        <v>291</v>
      </c>
      <c r="V112" s="140" t="s">
        <v>291</v>
      </c>
      <c r="W112" s="140" t="s">
        <v>291</v>
      </c>
      <c r="X112" s="140" t="s">
        <v>291</v>
      </c>
      <c r="Y112" s="140" t="s">
        <v>291</v>
      </c>
      <c r="Z112" s="140" t="s">
        <v>291</v>
      </c>
      <c r="AA112" s="140" t="s">
        <v>291</v>
      </c>
      <c r="AB112" s="140" t="s">
        <v>291</v>
      </c>
      <c r="AC112" s="140" t="s">
        <v>291</v>
      </c>
      <c r="AD112" s="140" t="s">
        <v>291</v>
      </c>
      <c r="AE112" s="140" t="s">
        <v>291</v>
      </c>
      <c r="AF112" s="140" t="s">
        <v>291</v>
      </c>
      <c r="AG112" s="140" t="s">
        <v>291</v>
      </c>
      <c r="AH112" s="140" t="s">
        <v>291</v>
      </c>
      <c r="AI112" s="140" t="s">
        <v>291</v>
      </c>
      <c r="AJ112" s="140" t="s">
        <v>291</v>
      </c>
      <c r="AK112" s="140" t="s">
        <v>291</v>
      </c>
      <c r="AL112" s="140" t="s">
        <v>291</v>
      </c>
      <c r="AM112" s="152">
        <f>SUM(K112:M112)/3</f>
        <v>4.25</v>
      </c>
      <c r="AN112" s="158">
        <f t="shared" ref="AN112:AN119" si="12">AM112*D112</f>
        <v>612</v>
      </c>
    </row>
    <row r="113" spans="1:40" x14ac:dyDescent="0.2">
      <c r="A113" s="26">
        <v>104</v>
      </c>
      <c r="B113" s="24" t="s">
        <v>177</v>
      </c>
      <c r="C113" s="33" t="s">
        <v>112</v>
      </c>
      <c r="D113" s="139">
        <v>144</v>
      </c>
      <c r="E113" s="140" t="s">
        <v>291</v>
      </c>
      <c r="F113" s="140" t="s">
        <v>291</v>
      </c>
      <c r="G113" s="140" t="s">
        <v>291</v>
      </c>
      <c r="H113" s="140" t="s">
        <v>291</v>
      </c>
      <c r="I113" s="140" t="s">
        <v>291</v>
      </c>
      <c r="J113" s="140" t="s">
        <v>291</v>
      </c>
      <c r="K113" s="140" t="s">
        <v>291</v>
      </c>
      <c r="L113" s="140" t="s">
        <v>291</v>
      </c>
      <c r="M113" s="140" t="s">
        <v>291</v>
      </c>
      <c r="N113" s="140" t="s">
        <v>291</v>
      </c>
      <c r="O113" s="140" t="s">
        <v>291</v>
      </c>
      <c r="P113" s="140" t="s">
        <v>291</v>
      </c>
      <c r="Q113" s="140" t="s">
        <v>291</v>
      </c>
      <c r="R113" s="140" t="s">
        <v>291</v>
      </c>
      <c r="S113" s="140" t="s">
        <v>291</v>
      </c>
      <c r="T113" s="140" t="s">
        <v>291</v>
      </c>
      <c r="U113" s="140" t="s">
        <v>291</v>
      </c>
      <c r="V113" s="140" t="s">
        <v>291</v>
      </c>
      <c r="W113" s="140" t="s">
        <v>291</v>
      </c>
      <c r="X113" s="140" t="s">
        <v>291</v>
      </c>
      <c r="Y113" s="140" t="s">
        <v>291</v>
      </c>
      <c r="Z113" s="140">
        <v>3.49</v>
      </c>
      <c r="AA113" s="140" t="s">
        <v>291</v>
      </c>
      <c r="AB113" s="140" t="s">
        <v>291</v>
      </c>
      <c r="AC113" s="140" t="s">
        <v>291</v>
      </c>
      <c r="AD113" s="140" t="s">
        <v>291</v>
      </c>
      <c r="AE113" s="140">
        <v>2.99</v>
      </c>
      <c r="AF113" s="140">
        <v>3.15</v>
      </c>
      <c r="AG113" s="140" t="s">
        <v>291</v>
      </c>
      <c r="AH113" s="140" t="s">
        <v>291</v>
      </c>
      <c r="AI113" s="140" t="s">
        <v>291</v>
      </c>
      <c r="AJ113" s="140" t="s">
        <v>291</v>
      </c>
      <c r="AK113" s="140" t="s">
        <v>291</v>
      </c>
      <c r="AL113" s="140" t="s">
        <v>291</v>
      </c>
      <c r="AM113" s="152">
        <f>SUM(Z113:AF113)/3</f>
        <v>3.2100000000000004</v>
      </c>
      <c r="AN113" s="158">
        <f t="shared" si="12"/>
        <v>462.24000000000007</v>
      </c>
    </row>
    <row r="114" spans="1:40" x14ac:dyDescent="0.2">
      <c r="A114" s="26">
        <v>105</v>
      </c>
      <c r="B114" s="24" t="s">
        <v>178</v>
      </c>
      <c r="C114" s="33" t="s">
        <v>112</v>
      </c>
      <c r="D114" s="139">
        <v>72</v>
      </c>
      <c r="E114" s="140" t="s">
        <v>291</v>
      </c>
      <c r="F114" s="140" t="s">
        <v>291</v>
      </c>
      <c r="G114" s="140" t="s">
        <v>291</v>
      </c>
      <c r="H114" s="140" t="s">
        <v>291</v>
      </c>
      <c r="I114" s="140" t="s">
        <v>291</v>
      </c>
      <c r="J114" s="140" t="s">
        <v>291</v>
      </c>
      <c r="K114" s="140" t="s">
        <v>291</v>
      </c>
      <c r="L114" s="140" t="s">
        <v>291</v>
      </c>
      <c r="M114" s="140" t="s">
        <v>291</v>
      </c>
      <c r="N114" s="140">
        <v>27.81</v>
      </c>
      <c r="O114" s="140" t="s">
        <v>291</v>
      </c>
      <c r="P114" s="140" t="s">
        <v>291</v>
      </c>
      <c r="Q114" s="140" t="s">
        <v>291</v>
      </c>
      <c r="R114" s="140" t="s">
        <v>291</v>
      </c>
      <c r="S114" s="140" t="s">
        <v>291</v>
      </c>
      <c r="T114" s="140" t="s">
        <v>291</v>
      </c>
      <c r="U114" s="140" t="s">
        <v>291</v>
      </c>
      <c r="V114" s="140">
        <v>27.35</v>
      </c>
      <c r="W114" s="140">
        <v>28.9</v>
      </c>
      <c r="X114" s="140" t="s">
        <v>291</v>
      </c>
      <c r="Y114" s="140" t="s">
        <v>291</v>
      </c>
      <c r="Z114" s="140" t="s">
        <v>291</v>
      </c>
      <c r="AA114" s="140" t="s">
        <v>291</v>
      </c>
      <c r="AB114" s="140" t="s">
        <v>291</v>
      </c>
      <c r="AC114" s="140" t="s">
        <v>291</v>
      </c>
      <c r="AD114" s="140" t="s">
        <v>291</v>
      </c>
      <c r="AE114" s="140" t="s">
        <v>291</v>
      </c>
      <c r="AF114" s="140" t="s">
        <v>291</v>
      </c>
      <c r="AG114" s="140" t="s">
        <v>291</v>
      </c>
      <c r="AH114" s="140" t="s">
        <v>291</v>
      </c>
      <c r="AI114" s="140" t="s">
        <v>291</v>
      </c>
      <c r="AJ114" s="140" t="s">
        <v>291</v>
      </c>
      <c r="AK114" s="140" t="s">
        <v>291</v>
      </c>
      <c r="AL114" s="140" t="s">
        <v>291</v>
      </c>
      <c r="AM114" s="152">
        <f>SUM(N114:AL114)/3</f>
        <v>28.02</v>
      </c>
      <c r="AN114" s="158">
        <f t="shared" si="12"/>
        <v>2017.44</v>
      </c>
    </row>
    <row r="115" spans="1:40" x14ac:dyDescent="0.2">
      <c r="A115" s="26">
        <v>106</v>
      </c>
      <c r="B115" s="24" t="s">
        <v>179</v>
      </c>
      <c r="C115" s="33" t="s">
        <v>180</v>
      </c>
      <c r="D115" s="139">
        <v>24</v>
      </c>
      <c r="E115" s="140" t="s">
        <v>291</v>
      </c>
      <c r="F115" s="140" t="s">
        <v>291</v>
      </c>
      <c r="G115" s="140" t="s">
        <v>291</v>
      </c>
      <c r="H115" s="140" t="s">
        <v>291</v>
      </c>
      <c r="I115" s="140" t="s">
        <v>291</v>
      </c>
      <c r="J115" s="140" t="s">
        <v>291</v>
      </c>
      <c r="K115" s="140" t="s">
        <v>291</v>
      </c>
      <c r="L115" s="140" t="s">
        <v>291</v>
      </c>
      <c r="M115" s="140" t="s">
        <v>291</v>
      </c>
      <c r="N115" s="140" t="s">
        <v>291</v>
      </c>
      <c r="O115" s="140" t="s">
        <v>291</v>
      </c>
      <c r="P115" s="140" t="s">
        <v>291</v>
      </c>
      <c r="Q115" s="140">
        <v>133.22</v>
      </c>
      <c r="R115" s="140">
        <v>151.06</v>
      </c>
      <c r="S115" s="140" t="s">
        <v>291</v>
      </c>
      <c r="T115" s="140" t="s">
        <v>291</v>
      </c>
      <c r="U115" s="140" t="s">
        <v>291</v>
      </c>
      <c r="V115" s="140" t="s">
        <v>291</v>
      </c>
      <c r="W115" s="140">
        <v>187.9</v>
      </c>
      <c r="X115" s="140" t="s">
        <v>291</v>
      </c>
      <c r="Y115" s="140" t="s">
        <v>291</v>
      </c>
      <c r="Z115" s="140" t="s">
        <v>291</v>
      </c>
      <c r="AA115" s="140" t="s">
        <v>291</v>
      </c>
      <c r="AB115" s="140" t="s">
        <v>291</v>
      </c>
      <c r="AC115" s="140" t="s">
        <v>291</v>
      </c>
      <c r="AD115" s="140" t="s">
        <v>291</v>
      </c>
      <c r="AE115" s="140" t="s">
        <v>291</v>
      </c>
      <c r="AF115" s="140" t="s">
        <v>291</v>
      </c>
      <c r="AG115" s="140" t="s">
        <v>291</v>
      </c>
      <c r="AH115" s="140" t="s">
        <v>291</v>
      </c>
      <c r="AI115" s="140" t="s">
        <v>291</v>
      </c>
      <c r="AJ115" s="140" t="s">
        <v>291</v>
      </c>
      <c r="AK115" s="140" t="s">
        <v>291</v>
      </c>
      <c r="AL115" s="140" t="s">
        <v>291</v>
      </c>
      <c r="AM115" s="152">
        <f>SUM(N115:AL115)/3</f>
        <v>157.39333333333332</v>
      </c>
      <c r="AN115" s="158">
        <f t="shared" si="12"/>
        <v>3777.4399999999996</v>
      </c>
    </row>
    <row r="116" spans="1:40" x14ac:dyDescent="0.2">
      <c r="A116" s="26">
        <v>107</v>
      </c>
      <c r="B116" s="24" t="s">
        <v>181</v>
      </c>
      <c r="C116" s="33" t="s">
        <v>112</v>
      </c>
      <c r="D116" s="139">
        <v>12</v>
      </c>
      <c r="E116" s="140" t="s">
        <v>291</v>
      </c>
      <c r="F116" s="140" t="s">
        <v>291</v>
      </c>
      <c r="G116" s="140" t="s">
        <v>291</v>
      </c>
      <c r="H116" s="140" t="s">
        <v>291</v>
      </c>
      <c r="I116" s="140" t="s">
        <v>291</v>
      </c>
      <c r="J116" s="140" t="s">
        <v>291</v>
      </c>
      <c r="K116" s="140" t="s">
        <v>291</v>
      </c>
      <c r="L116" s="140" t="s">
        <v>291</v>
      </c>
      <c r="M116" s="140" t="s">
        <v>291</v>
      </c>
      <c r="N116" s="140" t="s">
        <v>291</v>
      </c>
      <c r="O116" s="140" t="s">
        <v>291</v>
      </c>
      <c r="P116" s="140" t="s">
        <v>291</v>
      </c>
      <c r="Q116" s="140" t="s">
        <v>291</v>
      </c>
      <c r="R116" s="140" t="s">
        <v>291</v>
      </c>
      <c r="S116" s="140" t="s">
        <v>291</v>
      </c>
      <c r="T116" s="140" t="s">
        <v>291</v>
      </c>
      <c r="U116" s="140" t="s">
        <v>291</v>
      </c>
      <c r="V116" s="140" t="s">
        <v>291</v>
      </c>
      <c r="W116" s="140" t="s">
        <v>291</v>
      </c>
      <c r="X116" s="140" t="s">
        <v>291</v>
      </c>
      <c r="Y116" s="140" t="s">
        <v>291</v>
      </c>
      <c r="Z116" s="140" t="s">
        <v>291</v>
      </c>
      <c r="AA116" s="140" t="s">
        <v>291</v>
      </c>
      <c r="AB116" s="140" t="s">
        <v>291</v>
      </c>
      <c r="AC116" s="140" t="s">
        <v>291</v>
      </c>
      <c r="AD116" s="140">
        <v>13.49</v>
      </c>
      <c r="AE116" s="140">
        <v>14.9</v>
      </c>
      <c r="AF116" s="140">
        <v>12.7</v>
      </c>
      <c r="AG116" s="140" t="s">
        <v>291</v>
      </c>
      <c r="AH116" s="140" t="s">
        <v>291</v>
      </c>
      <c r="AI116" s="140" t="s">
        <v>291</v>
      </c>
      <c r="AJ116" s="140" t="s">
        <v>291</v>
      </c>
      <c r="AK116" s="140" t="s">
        <v>291</v>
      </c>
      <c r="AL116" s="140" t="s">
        <v>291</v>
      </c>
      <c r="AM116" s="152">
        <f>SUM(AD116:AF116)/3</f>
        <v>13.696666666666667</v>
      </c>
      <c r="AN116" s="158">
        <f t="shared" si="12"/>
        <v>164.36</v>
      </c>
    </row>
    <row r="117" spans="1:40" x14ac:dyDescent="0.2">
      <c r="A117" s="26">
        <v>108</v>
      </c>
      <c r="B117" s="24" t="s">
        <v>495</v>
      </c>
      <c r="C117" s="33" t="s">
        <v>112</v>
      </c>
      <c r="D117" s="139">
        <v>144</v>
      </c>
      <c r="E117" s="140" t="s">
        <v>291</v>
      </c>
      <c r="F117" s="140" t="s">
        <v>291</v>
      </c>
      <c r="G117" s="140" t="s">
        <v>291</v>
      </c>
      <c r="H117" s="140" t="s">
        <v>291</v>
      </c>
      <c r="I117" s="140" t="s">
        <v>291</v>
      </c>
      <c r="J117" s="140" t="s">
        <v>291</v>
      </c>
      <c r="K117" s="140" t="s">
        <v>291</v>
      </c>
      <c r="L117" s="140" t="s">
        <v>291</v>
      </c>
      <c r="M117" s="140" t="s">
        <v>291</v>
      </c>
      <c r="N117" s="140" t="s">
        <v>291</v>
      </c>
      <c r="O117" s="140" t="s">
        <v>291</v>
      </c>
      <c r="P117" s="140" t="s">
        <v>291</v>
      </c>
      <c r="Q117" s="140" t="s">
        <v>291</v>
      </c>
      <c r="R117" s="140" t="s">
        <v>291</v>
      </c>
      <c r="S117" s="140" t="s">
        <v>291</v>
      </c>
      <c r="T117" s="140" t="s">
        <v>291</v>
      </c>
      <c r="U117" s="140" t="s">
        <v>291</v>
      </c>
      <c r="V117" s="140" t="s">
        <v>291</v>
      </c>
      <c r="W117" s="140" t="s">
        <v>291</v>
      </c>
      <c r="X117" s="140" t="s">
        <v>291</v>
      </c>
      <c r="Y117" s="140" t="s">
        <v>291</v>
      </c>
      <c r="Z117" s="140">
        <v>4.37</v>
      </c>
      <c r="AA117" s="140" t="s">
        <v>291</v>
      </c>
      <c r="AB117" s="140" t="s">
        <v>291</v>
      </c>
      <c r="AC117" s="140" t="s">
        <v>291</v>
      </c>
      <c r="AD117" s="140" t="s">
        <v>291</v>
      </c>
      <c r="AE117" s="140" t="s">
        <v>291</v>
      </c>
      <c r="AF117" s="140" t="s">
        <v>291</v>
      </c>
      <c r="AG117" s="140" t="s">
        <v>291</v>
      </c>
      <c r="AH117" s="140" t="s">
        <v>291</v>
      </c>
      <c r="AI117" s="140" t="s">
        <v>291</v>
      </c>
      <c r="AJ117" s="140">
        <v>3.6</v>
      </c>
      <c r="AK117" s="140" t="s">
        <v>291</v>
      </c>
      <c r="AL117" s="140">
        <v>2.8</v>
      </c>
      <c r="AM117" s="152">
        <f>SUM(Z117:AL117)/3</f>
        <v>3.59</v>
      </c>
      <c r="AN117" s="158">
        <f t="shared" si="12"/>
        <v>516.96</v>
      </c>
    </row>
    <row r="118" spans="1:40" x14ac:dyDescent="0.2">
      <c r="A118" s="26">
        <v>109</v>
      </c>
      <c r="B118" s="24" t="s">
        <v>494</v>
      </c>
      <c r="C118" s="33" t="s">
        <v>112</v>
      </c>
      <c r="D118" s="139">
        <v>12</v>
      </c>
      <c r="E118" s="140" t="s">
        <v>291</v>
      </c>
      <c r="F118" s="140" t="s">
        <v>291</v>
      </c>
      <c r="G118" s="140" t="s">
        <v>291</v>
      </c>
      <c r="H118" s="140" t="s">
        <v>291</v>
      </c>
      <c r="I118" s="140" t="s">
        <v>291</v>
      </c>
      <c r="J118" s="140" t="s">
        <v>291</v>
      </c>
      <c r="K118" s="140" t="s">
        <v>291</v>
      </c>
      <c r="L118" s="140" t="s">
        <v>291</v>
      </c>
      <c r="M118" s="140" t="s">
        <v>291</v>
      </c>
      <c r="N118" s="140" t="s">
        <v>291</v>
      </c>
      <c r="O118" s="140" t="s">
        <v>291</v>
      </c>
      <c r="P118" s="140" t="s">
        <v>291</v>
      </c>
      <c r="Q118" s="140" t="s">
        <v>291</v>
      </c>
      <c r="R118" s="140" t="s">
        <v>291</v>
      </c>
      <c r="S118" s="140" t="s">
        <v>291</v>
      </c>
      <c r="T118" s="140" t="s">
        <v>291</v>
      </c>
      <c r="U118" s="140" t="s">
        <v>291</v>
      </c>
      <c r="V118" s="140" t="s">
        <v>291</v>
      </c>
      <c r="W118" s="140" t="s">
        <v>291</v>
      </c>
      <c r="X118" s="140" t="s">
        <v>291</v>
      </c>
      <c r="Y118" s="140" t="s">
        <v>291</v>
      </c>
      <c r="Z118" s="140">
        <v>128.55000000000001</v>
      </c>
      <c r="AA118" s="140" t="s">
        <v>291</v>
      </c>
      <c r="AB118" s="140" t="s">
        <v>291</v>
      </c>
      <c r="AC118" s="140" t="s">
        <v>291</v>
      </c>
      <c r="AD118" s="140" t="s">
        <v>291</v>
      </c>
      <c r="AE118" s="140">
        <v>72.900000000000006</v>
      </c>
      <c r="AF118" s="140" t="s">
        <v>291</v>
      </c>
      <c r="AG118" s="140">
        <v>91.99</v>
      </c>
      <c r="AH118" s="140" t="s">
        <v>291</v>
      </c>
      <c r="AI118" s="140" t="s">
        <v>291</v>
      </c>
      <c r="AJ118" s="140" t="s">
        <v>291</v>
      </c>
      <c r="AK118" s="140" t="s">
        <v>291</v>
      </c>
      <c r="AL118" s="140" t="s">
        <v>291</v>
      </c>
      <c r="AM118" s="152">
        <f>SUM(Z118:AG118)/3</f>
        <v>97.813333333333333</v>
      </c>
      <c r="AN118" s="158">
        <f t="shared" si="12"/>
        <v>1173.76</v>
      </c>
    </row>
    <row r="119" spans="1:40" x14ac:dyDescent="0.2">
      <c r="A119" s="26">
        <v>110</v>
      </c>
      <c r="B119" s="24" t="s">
        <v>182</v>
      </c>
      <c r="C119" s="33" t="s">
        <v>112</v>
      </c>
      <c r="D119" s="139">
        <v>36</v>
      </c>
      <c r="E119" s="140" t="s">
        <v>291</v>
      </c>
      <c r="F119" s="140" t="s">
        <v>291</v>
      </c>
      <c r="G119" s="140" t="s">
        <v>291</v>
      </c>
      <c r="H119" s="140" t="s">
        <v>291</v>
      </c>
      <c r="I119" s="140" t="s">
        <v>291</v>
      </c>
      <c r="J119" s="140" t="s">
        <v>291</v>
      </c>
      <c r="K119" s="140" t="s">
        <v>291</v>
      </c>
      <c r="L119" s="140" t="s">
        <v>291</v>
      </c>
      <c r="M119" s="140" t="s">
        <v>291</v>
      </c>
      <c r="N119" s="140" t="s">
        <v>291</v>
      </c>
      <c r="O119" s="140" t="s">
        <v>291</v>
      </c>
      <c r="P119" s="140" t="s">
        <v>291</v>
      </c>
      <c r="Q119" s="140" t="s">
        <v>291</v>
      </c>
      <c r="R119" s="140" t="s">
        <v>291</v>
      </c>
      <c r="S119" s="140" t="s">
        <v>291</v>
      </c>
      <c r="T119" s="140" t="s">
        <v>291</v>
      </c>
      <c r="U119" s="140" t="s">
        <v>291</v>
      </c>
      <c r="V119" s="140" t="s">
        <v>291</v>
      </c>
      <c r="W119" s="140" t="s">
        <v>291</v>
      </c>
      <c r="X119" s="140" t="s">
        <v>291</v>
      </c>
      <c r="Y119" s="140" t="s">
        <v>291</v>
      </c>
      <c r="Z119" s="140" t="s">
        <v>291</v>
      </c>
      <c r="AA119" s="140">
        <v>9.89</v>
      </c>
      <c r="AB119" s="140" t="s">
        <v>291</v>
      </c>
      <c r="AC119" s="140">
        <v>10.94</v>
      </c>
      <c r="AD119" s="140">
        <v>8.66</v>
      </c>
      <c r="AE119" s="140" t="s">
        <v>291</v>
      </c>
      <c r="AF119" s="140" t="s">
        <v>291</v>
      </c>
      <c r="AG119" s="140" t="s">
        <v>291</v>
      </c>
      <c r="AH119" s="140" t="s">
        <v>291</v>
      </c>
      <c r="AI119" s="140" t="s">
        <v>291</v>
      </c>
      <c r="AJ119" s="140" t="s">
        <v>291</v>
      </c>
      <c r="AK119" s="140" t="s">
        <v>291</v>
      </c>
      <c r="AL119" s="140" t="s">
        <v>291</v>
      </c>
      <c r="AM119" s="152">
        <f>SUM(AA119:AD119)/3</f>
        <v>9.83</v>
      </c>
      <c r="AN119" s="158">
        <f t="shared" si="12"/>
        <v>353.88</v>
      </c>
    </row>
    <row r="120" spans="1:40" ht="15" customHeight="1" x14ac:dyDescent="0.2">
      <c r="A120" s="349" t="s">
        <v>183</v>
      </c>
      <c r="B120" s="350"/>
      <c r="C120" s="350"/>
      <c r="D120" s="350"/>
      <c r="E120" s="350"/>
      <c r="F120" s="350"/>
      <c r="G120" s="350"/>
      <c r="H120" s="350"/>
      <c r="I120" s="350"/>
      <c r="J120" s="350"/>
      <c r="K120" s="350"/>
      <c r="L120" s="350"/>
      <c r="M120" s="350"/>
      <c r="N120" s="350"/>
      <c r="O120" s="350"/>
      <c r="P120" s="350"/>
      <c r="Q120" s="350"/>
      <c r="R120" s="350"/>
      <c r="S120" s="350"/>
      <c r="T120" s="350"/>
      <c r="U120" s="350"/>
      <c r="V120" s="350"/>
      <c r="W120" s="350"/>
      <c r="X120" s="350"/>
      <c r="Y120" s="350"/>
      <c r="Z120" s="350"/>
      <c r="AA120" s="350"/>
      <c r="AB120" s="350"/>
      <c r="AC120" s="350"/>
      <c r="AD120" s="350"/>
      <c r="AE120" s="350"/>
      <c r="AF120" s="350"/>
      <c r="AG120" s="350"/>
      <c r="AH120" s="350"/>
      <c r="AI120" s="350"/>
      <c r="AJ120" s="350"/>
      <c r="AK120" s="350"/>
      <c r="AL120" s="350"/>
      <c r="AM120" s="351"/>
      <c r="AN120" s="173">
        <f>SUM(AN4:AN119)</f>
        <v>312759.0076666667</v>
      </c>
    </row>
    <row r="121" spans="1:40" ht="15" customHeight="1" x14ac:dyDescent="0.2">
      <c r="A121" s="349" t="s">
        <v>184</v>
      </c>
      <c r="B121" s="350"/>
      <c r="C121" s="350"/>
      <c r="D121" s="350"/>
      <c r="E121" s="350"/>
      <c r="F121" s="350"/>
      <c r="G121" s="350"/>
      <c r="H121" s="350"/>
      <c r="I121" s="350"/>
      <c r="J121" s="350"/>
      <c r="K121" s="350"/>
      <c r="L121" s="350"/>
      <c r="M121" s="350"/>
      <c r="N121" s="350"/>
      <c r="O121" s="350"/>
      <c r="P121" s="350"/>
      <c r="Q121" s="350"/>
      <c r="R121" s="350"/>
      <c r="S121" s="350"/>
      <c r="T121" s="350"/>
      <c r="U121" s="350"/>
      <c r="V121" s="350"/>
      <c r="W121" s="350"/>
      <c r="X121" s="350"/>
      <c r="Y121" s="350"/>
      <c r="Z121" s="350"/>
      <c r="AA121" s="350"/>
      <c r="AB121" s="350"/>
      <c r="AC121" s="350"/>
      <c r="AD121" s="350"/>
      <c r="AE121" s="350"/>
      <c r="AF121" s="350"/>
      <c r="AG121" s="350"/>
      <c r="AH121" s="350"/>
      <c r="AI121" s="350"/>
      <c r="AJ121" s="350"/>
      <c r="AK121" s="350"/>
      <c r="AL121" s="350"/>
      <c r="AM121" s="351"/>
      <c r="AN121" s="173">
        <f>AN120*0.14</f>
        <v>43786.261073333342</v>
      </c>
    </row>
    <row r="122" spans="1:40" ht="15" customHeight="1" x14ac:dyDescent="0.2">
      <c r="A122" s="349" t="s">
        <v>95</v>
      </c>
      <c r="B122" s="350"/>
      <c r="C122" s="350"/>
      <c r="D122" s="350"/>
      <c r="E122" s="350"/>
      <c r="F122" s="350"/>
      <c r="G122" s="350"/>
      <c r="H122" s="350"/>
      <c r="I122" s="350"/>
      <c r="J122" s="350"/>
      <c r="K122" s="350"/>
      <c r="L122" s="350"/>
      <c r="M122" s="350"/>
      <c r="N122" s="350"/>
      <c r="O122" s="350"/>
      <c r="P122" s="350"/>
      <c r="Q122" s="350"/>
      <c r="R122" s="350"/>
      <c r="S122" s="350"/>
      <c r="T122" s="350"/>
      <c r="U122" s="350"/>
      <c r="V122" s="350"/>
      <c r="W122" s="350"/>
      <c r="X122" s="350"/>
      <c r="Y122" s="350"/>
      <c r="Z122" s="350"/>
      <c r="AA122" s="350"/>
      <c r="AB122" s="350"/>
      <c r="AC122" s="350"/>
      <c r="AD122" s="350"/>
      <c r="AE122" s="350"/>
      <c r="AF122" s="350"/>
      <c r="AG122" s="350"/>
      <c r="AH122" s="350"/>
      <c r="AI122" s="350"/>
      <c r="AJ122" s="350"/>
      <c r="AK122" s="350"/>
      <c r="AL122" s="350"/>
      <c r="AM122" s="351"/>
      <c r="AN122" s="173">
        <f>AN121+AN120</f>
        <v>356545.26874000003</v>
      </c>
    </row>
    <row r="123" spans="1:40" ht="15" customHeight="1" x14ac:dyDescent="0.2">
      <c r="A123" s="349" t="s">
        <v>185</v>
      </c>
      <c r="B123" s="350"/>
      <c r="C123" s="350"/>
      <c r="D123" s="350"/>
      <c r="E123" s="350"/>
      <c r="F123" s="350"/>
      <c r="G123" s="350"/>
      <c r="H123" s="350"/>
      <c r="I123" s="350"/>
      <c r="J123" s="350"/>
      <c r="K123" s="350"/>
      <c r="L123" s="350"/>
      <c r="M123" s="350"/>
      <c r="N123" s="350"/>
      <c r="O123" s="350"/>
      <c r="P123" s="350"/>
      <c r="Q123" s="350"/>
      <c r="R123" s="350"/>
      <c r="S123" s="350"/>
      <c r="T123" s="350"/>
      <c r="U123" s="350"/>
      <c r="V123" s="350"/>
      <c r="W123" s="350"/>
      <c r="X123" s="350"/>
      <c r="Y123" s="350"/>
      <c r="Z123" s="350"/>
      <c r="AA123" s="350"/>
      <c r="AB123" s="350"/>
      <c r="AC123" s="350"/>
      <c r="AD123" s="350"/>
      <c r="AE123" s="350"/>
      <c r="AF123" s="350"/>
      <c r="AG123" s="350"/>
      <c r="AH123" s="350"/>
      <c r="AI123" s="350"/>
      <c r="AJ123" s="350"/>
      <c r="AK123" s="350"/>
      <c r="AL123" s="350"/>
      <c r="AM123" s="351"/>
      <c r="AN123" s="173">
        <f>AN122/12</f>
        <v>29712.105728333336</v>
      </c>
    </row>
    <row r="124" spans="1:40" ht="15" customHeight="1" x14ac:dyDescent="0.2">
      <c r="A124" s="349" t="s">
        <v>186</v>
      </c>
      <c r="B124" s="350"/>
      <c r="C124" s="350"/>
      <c r="D124" s="350"/>
      <c r="E124" s="350"/>
      <c r="F124" s="350"/>
      <c r="G124" s="350"/>
      <c r="H124" s="350"/>
      <c r="I124" s="350"/>
      <c r="J124" s="350"/>
      <c r="K124" s="350"/>
      <c r="L124" s="350"/>
      <c r="M124" s="350"/>
      <c r="N124" s="350"/>
      <c r="O124" s="350"/>
      <c r="P124" s="350"/>
      <c r="Q124" s="350"/>
      <c r="R124" s="350"/>
      <c r="S124" s="350"/>
      <c r="T124" s="350"/>
      <c r="U124" s="350"/>
      <c r="V124" s="350"/>
      <c r="W124" s="350"/>
      <c r="X124" s="350"/>
      <c r="Y124" s="350"/>
      <c r="Z124" s="350"/>
      <c r="AA124" s="350"/>
      <c r="AB124" s="350"/>
      <c r="AC124" s="350"/>
      <c r="AD124" s="350"/>
      <c r="AE124" s="350"/>
      <c r="AF124" s="350"/>
      <c r="AG124" s="350"/>
      <c r="AH124" s="350"/>
      <c r="AI124" s="350"/>
      <c r="AJ124" s="350"/>
      <c r="AK124" s="350"/>
      <c r="AL124" s="350"/>
      <c r="AM124" s="351"/>
      <c r="AN124" s="173">
        <f>AN123*0.4</f>
        <v>11884.842291333334</v>
      </c>
    </row>
  </sheetData>
  <mergeCells count="27">
    <mergeCell ref="E1:AL1"/>
    <mergeCell ref="A1:B1"/>
    <mergeCell ref="AM1:AN2"/>
    <mergeCell ref="A122:AM122"/>
    <mergeCell ref="A2:A3"/>
    <mergeCell ref="B2:B3"/>
    <mergeCell ref="C1:C3"/>
    <mergeCell ref="D1:D3"/>
    <mergeCell ref="A11:D11"/>
    <mergeCell ref="A40:D40"/>
    <mergeCell ref="A66:D66"/>
    <mergeCell ref="F2:H2"/>
    <mergeCell ref="A81:D81"/>
    <mergeCell ref="A94:D94"/>
    <mergeCell ref="A111:D111"/>
    <mergeCell ref="E111:AL111"/>
    <mergeCell ref="K2:AL2"/>
    <mergeCell ref="E11:AL11"/>
    <mergeCell ref="I2:J2"/>
    <mergeCell ref="A124:AM124"/>
    <mergeCell ref="A120:AM120"/>
    <mergeCell ref="A121:AM121"/>
    <mergeCell ref="A123:AM123"/>
    <mergeCell ref="E94:AL94"/>
    <mergeCell ref="E81:AL81"/>
    <mergeCell ref="E66:AL66"/>
    <mergeCell ref="E40:AL40"/>
  </mergeCells>
  <pageMargins left="0.51181102362204722" right="0.51181102362204722" top="1.3779527559055118" bottom="0.78740157480314965" header="0.31496062992125984" footer="0.31496062992125984"/>
  <pageSetup paperSize="9" scale="24" orientation="portrait" r:id="rId1"/>
  <headerFooter>
    <oddHeader>&amp;C&amp;G</oddHeader>
  </headerFooter>
  <rowBreaks count="1" manualBreakCount="1">
    <brk id="10" max="16383" man="1"/>
  </rowBreaks>
  <ignoredErrors>
    <ignoredError sqref="AM49 AM6" formulaRange="1"/>
    <ignoredError sqref="AM99 AM83 AM9 AM14 AM16 AM19:AM20 AM53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6</vt:i4>
      </vt:variant>
    </vt:vector>
  </HeadingPairs>
  <TitlesOfParts>
    <vt:vector size="17" baseType="lpstr">
      <vt:lpstr>RESUMO (MO+Materiais+Serv.)</vt:lpstr>
      <vt:lpstr>ENCARREGADO(A) GERAL</vt:lpstr>
      <vt:lpstr>TEC. DE SEGURANÇA </vt:lpstr>
      <vt:lpstr>TÉC. EM REFRIGERAÇÃO E AR</vt:lpstr>
      <vt:lpstr>AJUDANTE GERAL DE MANUTENÇÃO</vt:lpstr>
      <vt:lpstr>UNIFORMES</vt:lpstr>
      <vt:lpstr>FERRAMENTAS</vt:lpstr>
      <vt:lpstr>EPI</vt:lpstr>
      <vt:lpstr>MATERIAIS</vt:lpstr>
      <vt:lpstr>SERV. ESPECIALIZADOS </vt:lpstr>
      <vt:lpstr>BDI Materiais</vt:lpstr>
      <vt:lpstr>'BDI Materiais'!Area_de_impressao</vt:lpstr>
      <vt:lpstr>EPI!Area_de_impressao</vt:lpstr>
      <vt:lpstr>FERRAMENTAS!Area_de_impressao</vt:lpstr>
      <vt:lpstr>MATERIAIS!Area_de_impressao</vt:lpstr>
      <vt:lpstr>'RESUMO (MO+Materiais+Serv.)'!Area_de_impressao</vt:lpstr>
      <vt:lpstr>UNIFORMES!Area_de_impressao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Manutenção Ar Condicionado 2019 (Salvo automaticamente).xlsx</dc:title>
  <dc:creator>alvanir.carvalho</dc:creator>
  <cp:lastModifiedBy>Luciene Pereira Gama</cp:lastModifiedBy>
  <cp:lastPrinted>2022-02-01T15:32:20Z</cp:lastPrinted>
  <dcterms:created xsi:type="dcterms:W3CDTF">2020-07-08T01:58:05Z</dcterms:created>
  <dcterms:modified xsi:type="dcterms:W3CDTF">2025-11-11T21:40:18Z</dcterms:modified>
</cp:coreProperties>
</file>